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G:\マイドライブ\いろいろ\THz応用推進協議会\2022_6GWG\第二回\化合物PAまとめ_v1\"/>
    </mc:Choice>
  </mc:AlternateContent>
  <xr:revisionPtr revIDLastSave="0" documentId="13_ncr:1_{A888767B-DD57-4D70-BCF4-2337BA2AD084}" xr6:coauthVersionLast="36" xr6:coauthVersionMax="47" xr10:uidLastSave="{00000000-0000-0000-0000-000000000000}"/>
  <bookViews>
    <workbookView xWindow="-28920" yWindow="-120" windowWidth="29040" windowHeight="15840" firstSheet="1" activeTab="7" xr2:uid="{9D1797D8-A772-437C-A1B7-251AC938DF1B}"/>
  </bookViews>
  <sheets>
    <sheet name="はじめに" sheetId="7" r:id="rId1"/>
    <sheet name="Benchmark" sheetId="5" r:id="rId2"/>
    <sheet name="GaN HEMT" sheetId="4" r:id="rId3"/>
    <sheet name="InP HEMT" sheetId="1" r:id="rId4"/>
    <sheet name="mHEMT" sheetId="3" r:id="rId5"/>
    <sheet name="InP HBT" sheetId="2" r:id="rId6"/>
    <sheet name="周波数帯" sheetId="6" r:id="rId7"/>
    <sheet name="InPHEMTs" sheetId="8" r:id="rId8"/>
  </sheets>
  <externalReferences>
    <externalReference r:id="rId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8" l="1"/>
  <c r="S14" i="8" s="1"/>
  <c r="I12" i="8"/>
  <c r="I11" i="8"/>
  <c r="I7" i="8"/>
  <c r="I8" i="8"/>
  <c r="I9" i="8"/>
  <c r="I6" i="8"/>
  <c r="S6" i="8" s="1"/>
  <c r="I4" i="8"/>
  <c r="I3" i="8"/>
  <c r="I2" i="8"/>
  <c r="F11" i="8"/>
  <c r="F7" i="8"/>
  <c r="G17" i="8"/>
  <c r="F25" i="8"/>
  <c r="F21" i="8"/>
  <c r="G20" i="8"/>
  <c r="G21" i="8"/>
  <c r="G22" i="8"/>
  <c r="F19" i="8"/>
  <c r="G19" i="8"/>
  <c r="G5" i="8"/>
  <c r="G6" i="8"/>
  <c r="G7" i="8"/>
  <c r="G8" i="8"/>
  <c r="G9" i="8"/>
  <c r="G10" i="8"/>
  <c r="G11" i="8"/>
  <c r="G12" i="8"/>
  <c r="G13" i="8"/>
  <c r="F4" i="8"/>
  <c r="G4" i="8"/>
  <c r="G2" i="8"/>
  <c r="H3" i="8"/>
  <c r="H4" i="8"/>
  <c r="H5" i="8"/>
  <c r="H6" i="8"/>
  <c r="H7" i="8"/>
  <c r="H8" i="8"/>
  <c r="H9" i="8"/>
  <c r="H10" i="8"/>
  <c r="H11" i="8"/>
  <c r="H12" i="8"/>
  <c r="H13" i="8"/>
  <c r="H14" i="8"/>
  <c r="H15" i="8"/>
  <c r="H16" i="8"/>
  <c r="H17" i="8"/>
  <c r="H18" i="8"/>
  <c r="H19" i="8"/>
  <c r="H20" i="8"/>
  <c r="H21" i="8"/>
  <c r="H22" i="8"/>
  <c r="H23" i="8"/>
  <c r="H24" i="8"/>
  <c r="H25" i="8"/>
  <c r="H2" i="8"/>
  <c r="C24" i="8"/>
  <c r="D24" i="8"/>
  <c r="O3" i="8"/>
  <c r="P3" i="8"/>
  <c r="O4" i="8"/>
  <c r="P4" i="8"/>
  <c r="O5" i="8"/>
  <c r="P5" i="8"/>
  <c r="O6" i="8"/>
  <c r="P6" i="8"/>
  <c r="O7" i="8"/>
  <c r="P7" i="8"/>
  <c r="O8" i="8"/>
  <c r="P8" i="8"/>
  <c r="O9" i="8"/>
  <c r="P9" i="8"/>
  <c r="O10" i="8"/>
  <c r="P10" i="8"/>
  <c r="O11" i="8"/>
  <c r="P11" i="8"/>
  <c r="O12" i="8"/>
  <c r="P12" i="8"/>
  <c r="O13" i="8"/>
  <c r="P13" i="8"/>
  <c r="O14" i="8"/>
  <c r="P14" i="8"/>
  <c r="O15" i="8"/>
  <c r="P15" i="8"/>
  <c r="O16" i="8"/>
  <c r="P16" i="8"/>
  <c r="O17" i="8"/>
  <c r="P17" i="8"/>
  <c r="O18" i="8"/>
  <c r="P18" i="8"/>
  <c r="O19" i="8"/>
  <c r="P19" i="8"/>
  <c r="O20" i="8"/>
  <c r="P20" i="8"/>
  <c r="O21" i="8"/>
  <c r="P21" i="8"/>
  <c r="O22" i="8"/>
  <c r="P22" i="8"/>
  <c r="O23" i="8"/>
  <c r="P23" i="8"/>
  <c r="O24" i="8"/>
  <c r="P24" i="8"/>
  <c r="O25" i="8"/>
  <c r="P25" i="8"/>
  <c r="P2" i="8"/>
  <c r="O2" i="8"/>
  <c r="E3" i="8"/>
  <c r="S3" i="8" s="1"/>
  <c r="E4" i="8"/>
  <c r="E5" i="8"/>
  <c r="Q5" i="8" s="1"/>
  <c r="E6" i="8"/>
  <c r="E7" i="8"/>
  <c r="E8" i="8"/>
  <c r="Q8" i="8" s="1"/>
  <c r="E9" i="8"/>
  <c r="E10" i="8"/>
  <c r="S10" i="8" s="1"/>
  <c r="E11" i="8"/>
  <c r="Q11" i="8" s="1"/>
  <c r="E12" i="8"/>
  <c r="E13" i="8"/>
  <c r="Q13" i="8" s="1"/>
  <c r="E14" i="8"/>
  <c r="E15" i="8"/>
  <c r="R15" i="8" s="1"/>
  <c r="E16" i="8"/>
  <c r="R16" i="8" s="1"/>
  <c r="E17" i="8"/>
  <c r="R17" i="8" s="1"/>
  <c r="E18" i="8"/>
  <c r="R18" i="8" s="1"/>
  <c r="E19" i="8"/>
  <c r="E20" i="8"/>
  <c r="S20" i="8" s="1"/>
  <c r="E21" i="8"/>
  <c r="S21" i="8" s="1"/>
  <c r="E22" i="8"/>
  <c r="Q22" i="8" s="1"/>
  <c r="E23" i="8"/>
  <c r="S23" i="8" s="1"/>
  <c r="E24" i="8"/>
  <c r="S24" i="8" s="1"/>
  <c r="E25" i="8"/>
  <c r="Q25" i="8" s="1"/>
  <c r="E2" i="8"/>
  <c r="Q2" i="8" s="1"/>
  <c r="R13" i="8"/>
  <c r="S13" i="8"/>
  <c r="Q14" i="8"/>
  <c r="R14" i="8"/>
  <c r="Q15" i="8"/>
  <c r="Q16" i="8"/>
  <c r="Q17" i="8"/>
  <c r="Q18" i="8"/>
  <c r="Q19" i="8"/>
  <c r="R19" i="8"/>
  <c r="S19" i="8"/>
  <c r="Q20" i="8"/>
  <c r="R20" i="8"/>
  <c r="R21" i="8"/>
  <c r="R22" i="8"/>
  <c r="S22" i="8"/>
  <c r="R23" i="8"/>
  <c r="Q24" i="8"/>
  <c r="R24" i="8"/>
  <c r="R25" i="8"/>
  <c r="R12" i="8"/>
  <c r="Q12" i="8"/>
  <c r="S12" i="8"/>
  <c r="S11" i="8"/>
  <c r="R11" i="8"/>
  <c r="R10" i="8"/>
  <c r="R9" i="8"/>
  <c r="Q9" i="8"/>
  <c r="R8" i="8"/>
  <c r="R7" i="8"/>
  <c r="Q7" i="8"/>
  <c r="S7" i="8"/>
  <c r="R6" i="8"/>
  <c r="Q6" i="8"/>
  <c r="R5" i="8"/>
  <c r="R4" i="8"/>
  <c r="Q4" i="8"/>
  <c r="R3" i="8"/>
  <c r="R2" i="8"/>
  <c r="S2" i="8" l="1"/>
  <c r="S18" i="8"/>
  <c r="S25" i="8"/>
  <c r="Q23" i="8"/>
  <c r="S17" i="8"/>
  <c r="Q3" i="8"/>
  <c r="Q10" i="8"/>
  <c r="S16" i="8"/>
  <c r="Q21" i="8"/>
  <c r="S15" i="8"/>
  <c r="S8" i="8"/>
  <c r="S4" i="8"/>
  <c r="S5" i="8"/>
  <c r="S9" i="8"/>
  <c r="O6" i="2" l="1"/>
  <c r="AI6" i="2"/>
  <c r="E6" i="2"/>
  <c r="V6" i="2"/>
  <c r="W6" i="2"/>
  <c r="Y6" i="2"/>
  <c r="O55" i="3"/>
  <c r="O54" i="3"/>
  <c r="O53" i="3"/>
  <c r="O52" i="3"/>
  <c r="O49" i="3"/>
  <c r="W44" i="3"/>
  <c r="W45" i="3"/>
  <c r="W46" i="3"/>
  <c r="W47" i="3"/>
  <c r="W48" i="3"/>
  <c r="W49" i="3"/>
  <c r="W50" i="3"/>
  <c r="O46" i="3"/>
  <c r="O48" i="3"/>
  <c r="O47" i="3"/>
  <c r="O45" i="3"/>
  <c r="O44" i="3"/>
  <c r="O43" i="3"/>
  <c r="O42" i="3"/>
  <c r="O39" i="3"/>
  <c r="O31" i="3"/>
  <c r="O32" i="3"/>
  <c r="O33" i="3"/>
  <c r="O34" i="3"/>
  <c r="O35" i="3"/>
  <c r="O36" i="3"/>
  <c r="O37" i="3"/>
  <c r="O38" i="3"/>
  <c r="O30" i="3"/>
  <c r="O29" i="3"/>
  <c r="O28" i="3"/>
  <c r="O14" i="3"/>
  <c r="O15" i="3"/>
  <c r="O16" i="3"/>
  <c r="O17" i="3"/>
  <c r="O18" i="3"/>
  <c r="O19" i="3"/>
  <c r="O20" i="3"/>
  <c r="O21" i="3"/>
  <c r="O22" i="3"/>
  <c r="O23" i="3"/>
  <c r="O24" i="3"/>
  <c r="O25" i="3"/>
  <c r="O26" i="3"/>
  <c r="O27" i="3"/>
  <c r="O13" i="3"/>
  <c r="O10" i="3"/>
  <c r="O11" i="3"/>
  <c r="O9" i="3"/>
  <c r="O8" i="3"/>
  <c r="O7" i="3"/>
  <c r="O5" i="3"/>
  <c r="O6" i="3"/>
  <c r="O4" i="3"/>
  <c r="O3" i="3"/>
  <c r="O2" i="3"/>
  <c r="E55" i="3" l="1"/>
  <c r="E35" i="3"/>
  <c r="E36" i="3"/>
  <c r="E37" i="3"/>
  <c r="E39" i="3"/>
  <c r="E34" i="3"/>
  <c r="E25" i="3"/>
  <c r="E26" i="3"/>
  <c r="E28" i="3"/>
  <c r="E29" i="3"/>
  <c r="E30" i="3"/>
  <c r="O27" i="1"/>
  <c r="O26" i="1"/>
  <c r="O25" i="1"/>
  <c r="S21" i="1"/>
  <c r="E21" i="1" s="1"/>
  <c r="X23" i="1"/>
  <c r="Y23" i="1"/>
  <c r="V23" i="1"/>
  <c r="W23" i="1" s="1"/>
  <c r="U23" i="1"/>
  <c r="T23" i="1"/>
  <c r="S23" i="1"/>
  <c r="E23" i="1" s="1"/>
  <c r="Y24" i="1"/>
  <c r="X24" i="1"/>
  <c r="V24" i="1"/>
  <c r="W24" i="1" s="1"/>
  <c r="S24" i="1"/>
  <c r="AC24" i="1"/>
  <c r="AB24" i="1"/>
  <c r="AE24" i="1"/>
  <c r="AI24" i="1"/>
  <c r="O24" i="1"/>
  <c r="E24" i="1"/>
  <c r="AI23" i="1"/>
  <c r="O23" i="1"/>
  <c r="V22" i="1"/>
  <c r="W22" i="1" s="1"/>
  <c r="Y22" i="1"/>
  <c r="S22" i="1"/>
  <c r="X22" i="1"/>
  <c r="AI22" i="1"/>
  <c r="AB22" i="1"/>
  <c r="O22" i="1"/>
  <c r="E22" i="1"/>
  <c r="O21" i="1"/>
  <c r="O19" i="1"/>
  <c r="O18" i="1"/>
  <c r="O17" i="1"/>
  <c r="O14" i="1"/>
  <c r="O10" i="1"/>
  <c r="O9" i="1"/>
  <c r="O7" i="1"/>
  <c r="O4" i="1"/>
  <c r="O22" i="4"/>
  <c r="O21" i="4"/>
  <c r="O19" i="4"/>
  <c r="O18" i="4"/>
  <c r="O16" i="4"/>
  <c r="O15" i="4"/>
  <c r="O10" i="4" l="1"/>
  <c r="O12" i="4"/>
  <c r="O13" i="4"/>
  <c r="O9" i="4"/>
  <c r="O7" i="4"/>
  <c r="O6" i="4"/>
  <c r="O5" i="4"/>
  <c r="O4" i="4"/>
  <c r="O3" i="4"/>
  <c r="O2" i="4"/>
  <c r="O8" i="2"/>
  <c r="O21" i="2"/>
  <c r="O20" i="2"/>
  <c r="O19" i="2"/>
  <c r="O15" i="2"/>
  <c r="O14" i="2"/>
  <c r="O12" i="2"/>
  <c r="O11" i="2"/>
  <c r="O9" i="2"/>
  <c r="O5" i="2"/>
  <c r="O4" i="2"/>
  <c r="O3" i="2"/>
  <c r="AI2" i="2"/>
  <c r="O2" i="2"/>
  <c r="AH2" i="4"/>
  <c r="AI2" i="4"/>
  <c r="AE2" i="4"/>
  <c r="AF2" i="4" s="1"/>
  <c r="AB2" i="4"/>
  <c r="E2" i="4" s="1"/>
  <c r="Y2" i="4"/>
  <c r="X2" i="4"/>
  <c r="V2" i="4"/>
  <c r="W2" i="4" s="1"/>
  <c r="E4" i="4"/>
  <c r="E5" i="4"/>
  <c r="E6" i="4"/>
  <c r="E7" i="4"/>
  <c r="E25" i="4"/>
  <c r="AI25" i="4"/>
  <c r="AI24" i="4"/>
  <c r="AI7" i="4"/>
  <c r="AI13" i="4"/>
  <c r="AI12" i="4"/>
  <c r="AF7" i="4"/>
  <c r="AF13" i="4"/>
  <c r="AC13" i="4"/>
  <c r="AF12" i="4"/>
  <c r="AC12" i="4"/>
  <c r="AB24" i="4"/>
  <c r="E24" i="4" s="1"/>
  <c r="AB13" i="4"/>
  <c r="E13" i="4" s="1"/>
  <c r="AB12" i="4"/>
  <c r="E12" i="4" s="1"/>
  <c r="Y12" i="4"/>
  <c r="Y13" i="4"/>
  <c r="Y27" i="4"/>
  <c r="Y7" i="4"/>
  <c r="Y24" i="4"/>
  <c r="Y25" i="4"/>
  <c r="X12" i="4"/>
  <c r="X13" i="4"/>
  <c r="X27" i="4"/>
  <c r="X7" i="4"/>
  <c r="X24" i="4"/>
  <c r="X25" i="4"/>
  <c r="W12" i="4"/>
  <c r="W13" i="4"/>
  <c r="W25" i="4"/>
  <c r="V24" i="4"/>
  <c r="W24" i="4" s="1"/>
  <c r="V7" i="4"/>
  <c r="W7" i="4" s="1"/>
  <c r="AB19" i="4"/>
  <c r="E19" i="4" s="1"/>
  <c r="AB18" i="4"/>
  <c r="E18" i="4" s="1"/>
  <c r="Y18" i="4"/>
  <c r="Y19" i="4"/>
  <c r="W18" i="4"/>
  <c r="X18" i="4"/>
  <c r="W19" i="4"/>
  <c r="X19" i="4"/>
  <c r="V9" i="4"/>
  <c r="W9" i="4" s="1"/>
  <c r="AI10" i="4"/>
  <c r="AI9" i="4"/>
  <c r="AF10" i="4"/>
  <c r="AF9" i="4"/>
  <c r="AB10" i="4"/>
  <c r="E10" i="4" s="1"/>
  <c r="AB9" i="4"/>
  <c r="E9" i="4" s="1"/>
  <c r="X9" i="4"/>
  <c r="Y9" i="4"/>
  <c r="X10" i="4"/>
  <c r="W10" i="4"/>
  <c r="AF6" i="4"/>
  <c r="AI6" i="4"/>
  <c r="AI5" i="4"/>
  <c r="AI4" i="4"/>
  <c r="X4" i="4"/>
  <c r="Y4" i="4"/>
  <c r="V4" i="4"/>
  <c r="W4" i="4" s="1"/>
  <c r="Y15" i="4"/>
  <c r="Y16" i="4"/>
  <c r="Y21" i="4"/>
  <c r="Y22" i="4"/>
  <c r="Y3" i="4"/>
  <c r="X15" i="4"/>
  <c r="X16" i="4"/>
  <c r="X21" i="4"/>
  <c r="X22" i="4"/>
  <c r="X3" i="4"/>
  <c r="AI22" i="4"/>
  <c r="AI21" i="4"/>
  <c r="AI16" i="4"/>
  <c r="AI15" i="4"/>
  <c r="AI3" i="4"/>
  <c r="AF22" i="4"/>
  <c r="AF21" i="4"/>
  <c r="AF3" i="4"/>
  <c r="AD22" i="4"/>
  <c r="AC22" i="4"/>
  <c r="AD21" i="4"/>
  <c r="AC21" i="4"/>
  <c r="AC16" i="4"/>
  <c r="AC15" i="4"/>
  <c r="AC3" i="4"/>
  <c r="V22" i="4"/>
  <c r="W22" i="4" s="1"/>
  <c r="V21" i="4"/>
  <c r="W21" i="4" s="1"/>
  <c r="V16" i="4"/>
  <c r="W16" i="4" s="1"/>
  <c r="V15" i="4"/>
  <c r="W15" i="4" s="1"/>
  <c r="V3" i="4"/>
  <c r="W3" i="4" s="1"/>
  <c r="H16" i="4"/>
  <c r="H15" i="4"/>
  <c r="AB22" i="4"/>
  <c r="E22" i="4" s="1"/>
  <c r="AB21" i="4"/>
  <c r="E21" i="4" s="1"/>
  <c r="AB16" i="4"/>
  <c r="E16" i="4" s="1"/>
  <c r="AB15" i="4"/>
  <c r="E15" i="4" s="1"/>
  <c r="AB3" i="4"/>
  <c r="E3" i="4" s="1"/>
  <c r="AI52" i="3"/>
  <c r="AI40" i="3"/>
  <c r="AI39" i="3"/>
  <c r="AI38" i="3"/>
  <c r="AI37" i="3"/>
  <c r="AI36" i="3"/>
  <c r="AI35" i="3"/>
  <c r="AI34" i="3"/>
  <c r="AI32" i="3"/>
  <c r="AI31" i="3"/>
  <c r="AI30" i="3"/>
  <c r="AI29" i="3"/>
  <c r="AI28" i="3"/>
  <c r="AI27" i="3"/>
  <c r="AI55" i="3"/>
  <c r="AI54" i="3"/>
  <c r="AI26" i="3"/>
  <c r="AI25" i="3"/>
  <c r="AI24" i="3"/>
  <c r="AI23" i="3"/>
  <c r="AI53" i="3"/>
  <c r="AI22" i="3"/>
  <c r="AI21" i="3"/>
  <c r="AI49" i="3"/>
  <c r="AI48" i="3"/>
  <c r="AI47" i="3"/>
  <c r="AI45" i="3"/>
  <c r="AI44" i="3"/>
  <c r="AI19" i="3"/>
  <c r="AI43" i="3"/>
  <c r="AI42" i="3"/>
  <c r="AI18" i="3"/>
  <c r="AI17" i="3"/>
  <c r="AI16" i="3"/>
  <c r="AI15" i="3"/>
  <c r="AI14" i="3"/>
  <c r="AI13" i="3"/>
  <c r="AI12" i="3"/>
  <c r="AI11" i="3"/>
  <c r="AI10" i="3"/>
  <c r="AI9" i="3"/>
  <c r="AI8" i="3"/>
  <c r="AI7" i="3"/>
  <c r="AI6" i="3"/>
  <c r="AI5" i="3"/>
  <c r="AI4" i="3"/>
  <c r="AI33" i="3"/>
  <c r="AI3" i="3"/>
  <c r="AI2" i="3"/>
  <c r="AF53" i="3"/>
  <c r="AF52" i="3"/>
  <c r="AF22" i="3"/>
  <c r="AF20" i="3"/>
  <c r="AF19" i="3"/>
  <c r="AF43" i="3"/>
  <c r="AC32" i="3"/>
  <c r="AC31" i="3"/>
  <c r="AC26" i="3"/>
  <c r="AC51" i="3"/>
  <c r="AC20" i="3"/>
  <c r="AC19" i="3"/>
  <c r="AC43" i="3"/>
  <c r="AB40" i="3"/>
  <c r="E40" i="3" s="1"/>
  <c r="AB38" i="3"/>
  <c r="E38" i="3" s="1"/>
  <c r="AB32" i="3"/>
  <c r="E32" i="3" s="1"/>
  <c r="AB31" i="3"/>
  <c r="E31" i="3" s="1"/>
  <c r="AB27" i="3"/>
  <c r="E27" i="3" s="1"/>
  <c r="AB54" i="3"/>
  <c r="E54" i="3" s="1"/>
  <c r="AB23" i="3"/>
  <c r="E23" i="3" s="1"/>
  <c r="AB51" i="3"/>
  <c r="E51" i="3" s="1"/>
  <c r="AB18" i="3"/>
  <c r="E18" i="3" s="1"/>
  <c r="AB12" i="3"/>
  <c r="E12" i="3" s="1"/>
  <c r="AB11" i="3"/>
  <c r="E11" i="3" s="1"/>
  <c r="AB10" i="3"/>
  <c r="E10" i="3" s="1"/>
  <c r="AB9" i="3"/>
  <c r="E9" i="3" s="1"/>
  <c r="AB8" i="3"/>
  <c r="E8" i="3" s="1"/>
  <c r="AB7" i="3"/>
  <c r="E7" i="3" s="1"/>
  <c r="AB6" i="3"/>
  <c r="E6" i="3" s="1"/>
  <c r="AB5" i="3"/>
  <c r="E5" i="3" s="1"/>
  <c r="AB4" i="3"/>
  <c r="E4" i="3" s="1"/>
  <c r="AB33" i="3"/>
  <c r="E33" i="3" s="1"/>
  <c r="AB3" i="3"/>
  <c r="E3" i="3" s="1"/>
  <c r="AB2" i="3"/>
  <c r="E2" i="3" s="1"/>
  <c r="Y38" i="3"/>
  <c r="Y39" i="3"/>
  <c r="Y40" i="3"/>
  <c r="Y55" i="3"/>
  <c r="Y27" i="3"/>
  <c r="Y28" i="3"/>
  <c r="Y29" i="3"/>
  <c r="Y30" i="3"/>
  <c r="Y31" i="3"/>
  <c r="Y32" i="3"/>
  <c r="Y51" i="3"/>
  <c r="Y23" i="3"/>
  <c r="Y24" i="3"/>
  <c r="Y25" i="3"/>
  <c r="Y26" i="3"/>
  <c r="Y54" i="3"/>
  <c r="Y53" i="3"/>
  <c r="Y52" i="3"/>
  <c r="Y22" i="3"/>
  <c r="Y21" i="3"/>
  <c r="Y14" i="3"/>
  <c r="Y15" i="3"/>
  <c r="Y16" i="3"/>
  <c r="Y17" i="3"/>
  <c r="Y18" i="3"/>
  <c r="Y42" i="3"/>
  <c r="Y19" i="3"/>
  <c r="Y20" i="3"/>
  <c r="Y12" i="3"/>
  <c r="Y13" i="3"/>
  <c r="Y8" i="3"/>
  <c r="Y9" i="3"/>
  <c r="Y4" i="3"/>
  <c r="Y5" i="3"/>
  <c r="Y6" i="3"/>
  <c r="Y7" i="3"/>
  <c r="Y33" i="3"/>
  <c r="X3" i="3"/>
  <c r="X33" i="3"/>
  <c r="X4" i="3"/>
  <c r="X5" i="3"/>
  <c r="X6" i="3"/>
  <c r="X7" i="3"/>
  <c r="X8" i="3"/>
  <c r="X9" i="3"/>
  <c r="X10" i="3"/>
  <c r="X11" i="3"/>
  <c r="X12" i="3"/>
  <c r="X13" i="3"/>
  <c r="X14" i="3"/>
  <c r="X15" i="3"/>
  <c r="X16" i="3"/>
  <c r="X17" i="3"/>
  <c r="X18" i="3"/>
  <c r="X42" i="3"/>
  <c r="X43" i="3"/>
  <c r="X19" i="3"/>
  <c r="X20" i="3"/>
  <c r="X44" i="3"/>
  <c r="X45" i="3"/>
  <c r="X46" i="3"/>
  <c r="X47" i="3"/>
  <c r="X48" i="3"/>
  <c r="X49" i="3"/>
  <c r="X50" i="3"/>
  <c r="X21" i="3"/>
  <c r="X22" i="3"/>
  <c r="X52" i="3"/>
  <c r="X53" i="3"/>
  <c r="X51" i="3"/>
  <c r="X23" i="3"/>
  <c r="X24" i="3"/>
  <c r="X25" i="3"/>
  <c r="X26" i="3"/>
  <c r="X54" i="3"/>
  <c r="X55" i="3"/>
  <c r="X27" i="3"/>
  <c r="X28" i="3"/>
  <c r="X29" i="3"/>
  <c r="X30" i="3"/>
  <c r="X31" i="3"/>
  <c r="X32" i="3"/>
  <c r="X34" i="3"/>
  <c r="X35" i="3"/>
  <c r="X36" i="3"/>
  <c r="X37" i="3"/>
  <c r="X38" i="3"/>
  <c r="X39" i="3"/>
  <c r="X40" i="3"/>
  <c r="X2" i="3"/>
  <c r="W3" i="3"/>
  <c r="W8" i="3"/>
  <c r="W9" i="3"/>
  <c r="W24" i="3"/>
  <c r="W25" i="3"/>
  <c r="W26" i="3"/>
  <c r="W54" i="3"/>
  <c r="W55" i="3"/>
  <c r="W32" i="3"/>
  <c r="W34" i="3"/>
  <c r="W35" i="3"/>
  <c r="W36" i="3"/>
  <c r="W37" i="3"/>
  <c r="W2" i="3"/>
  <c r="V40" i="3"/>
  <c r="W40" i="3" s="1"/>
  <c r="V39" i="3"/>
  <c r="W39" i="3" s="1"/>
  <c r="V38" i="3"/>
  <c r="W38" i="3" s="1"/>
  <c r="V31" i="3"/>
  <c r="W31" i="3" s="1"/>
  <c r="V30" i="3"/>
  <c r="W30" i="3" s="1"/>
  <c r="V29" i="3"/>
  <c r="W29" i="3" s="1"/>
  <c r="V28" i="3"/>
  <c r="W28" i="3" s="1"/>
  <c r="V27" i="3"/>
  <c r="W27" i="3" s="1"/>
  <c r="V23" i="3"/>
  <c r="W23" i="3" s="1"/>
  <c r="V51" i="3"/>
  <c r="V53" i="3"/>
  <c r="W53" i="3" s="1"/>
  <c r="V52" i="3"/>
  <c r="W52" i="3" s="1"/>
  <c r="V22" i="3"/>
  <c r="W22" i="3" s="1"/>
  <c r="V21" i="3"/>
  <c r="W21" i="3" s="1"/>
  <c r="V20" i="3"/>
  <c r="W20" i="3" s="1"/>
  <c r="V19" i="3"/>
  <c r="W19" i="3" s="1"/>
  <c r="U43" i="3"/>
  <c r="T43" i="3"/>
  <c r="V42" i="3"/>
  <c r="W42" i="3" s="1"/>
  <c r="V18" i="3"/>
  <c r="W18" i="3" s="1"/>
  <c r="V17" i="3"/>
  <c r="W17" i="3" s="1"/>
  <c r="V16" i="3"/>
  <c r="W16" i="3" s="1"/>
  <c r="V15" i="3"/>
  <c r="W15" i="3" s="1"/>
  <c r="V14" i="3"/>
  <c r="W14" i="3" s="1"/>
  <c r="V13" i="3"/>
  <c r="W13" i="3" s="1"/>
  <c r="V12" i="3"/>
  <c r="W12" i="3" s="1"/>
  <c r="U11" i="3"/>
  <c r="V11" i="3" s="1"/>
  <c r="W11" i="3" s="1"/>
  <c r="U10" i="3"/>
  <c r="V10" i="3" s="1"/>
  <c r="W10" i="3" s="1"/>
  <c r="V7" i="3"/>
  <c r="W7" i="3" s="1"/>
  <c r="V6" i="3"/>
  <c r="W6" i="3" s="1"/>
  <c r="V5" i="3"/>
  <c r="W5" i="3" s="1"/>
  <c r="V4" i="3"/>
  <c r="W4" i="3" s="1"/>
  <c r="V33" i="3"/>
  <c r="W33" i="3" s="1"/>
  <c r="E15" i="3"/>
  <c r="E16" i="3"/>
  <c r="E17" i="3"/>
  <c r="E42" i="3"/>
  <c r="E43" i="3"/>
  <c r="E19" i="3"/>
  <c r="E20" i="3"/>
  <c r="E44" i="3"/>
  <c r="E45" i="3"/>
  <c r="E46" i="3"/>
  <c r="E47" i="3"/>
  <c r="E48" i="3"/>
  <c r="E49" i="3"/>
  <c r="E50" i="3"/>
  <c r="E21" i="3"/>
  <c r="E22" i="3"/>
  <c r="E52" i="3"/>
  <c r="E53" i="3"/>
  <c r="E14" i="3"/>
  <c r="E13" i="3"/>
  <c r="E10" i="2"/>
  <c r="E13" i="2"/>
  <c r="E21" i="2"/>
  <c r="E19" i="2"/>
  <c r="E14" i="2"/>
  <c r="E15" i="2"/>
  <c r="E12" i="2"/>
  <c r="AI12" i="2"/>
  <c r="AI11" i="2"/>
  <c r="AI20" i="2"/>
  <c r="AI18" i="2"/>
  <c r="AI17" i="2"/>
  <c r="AI16" i="2"/>
  <c r="AI15" i="2"/>
  <c r="AI14" i="2"/>
  <c r="AI21" i="2"/>
  <c r="AI10" i="2"/>
  <c r="AI8" i="2"/>
  <c r="AI7" i="2"/>
  <c r="AI5" i="2"/>
  <c r="AI9" i="2"/>
  <c r="AF19" i="2"/>
  <c r="AC19" i="2"/>
  <c r="AC13" i="2"/>
  <c r="AC8" i="2"/>
  <c r="AC5" i="2"/>
  <c r="AB11" i="2"/>
  <c r="E11" i="2" s="1"/>
  <c r="AB20" i="2"/>
  <c r="E20" i="2" s="1"/>
  <c r="AB18" i="2"/>
  <c r="E18" i="2" s="1"/>
  <c r="AB17" i="2"/>
  <c r="E17" i="2" s="1"/>
  <c r="AB16" i="2"/>
  <c r="E16" i="2" s="1"/>
  <c r="AB8" i="2"/>
  <c r="AB7" i="2"/>
  <c r="E7" i="2" s="1"/>
  <c r="AB5" i="2"/>
  <c r="E5" i="2" s="1"/>
  <c r="AB2" i="2"/>
  <c r="E2" i="2" s="1"/>
  <c r="AB4" i="2"/>
  <c r="E4" i="2" s="1"/>
  <c r="AB3" i="2"/>
  <c r="E3" i="2" s="1"/>
  <c r="AB9" i="2"/>
  <c r="E9" i="2" s="1"/>
  <c r="Y3" i="2"/>
  <c r="Y4" i="2"/>
  <c r="Y2" i="2"/>
  <c r="Y5" i="2"/>
  <c r="Y7" i="2"/>
  <c r="Y8" i="2"/>
  <c r="Y10" i="2"/>
  <c r="Y13" i="2"/>
  <c r="Y21" i="2"/>
  <c r="Y19" i="2"/>
  <c r="Y14" i="2"/>
  <c r="Y15" i="2"/>
  <c r="Y16" i="2"/>
  <c r="Y17" i="2"/>
  <c r="Y18" i="2"/>
  <c r="Y20" i="2"/>
  <c r="Y11" i="2"/>
  <c r="Y12" i="2"/>
  <c r="X20" i="2"/>
  <c r="X11" i="2"/>
  <c r="X12" i="2"/>
  <c r="X9" i="2"/>
  <c r="Y9" i="2"/>
  <c r="X3" i="2"/>
  <c r="X4" i="2"/>
  <c r="X2" i="2"/>
  <c r="X5" i="2"/>
  <c r="X7" i="2"/>
  <c r="X8" i="2"/>
  <c r="X10" i="2"/>
  <c r="X13" i="2"/>
  <c r="X21" i="2"/>
  <c r="X19" i="2"/>
  <c r="X14" i="2"/>
  <c r="X15" i="2"/>
  <c r="X16" i="2"/>
  <c r="X17" i="2"/>
  <c r="X18" i="2"/>
  <c r="W7" i="2"/>
  <c r="W16" i="2"/>
  <c r="W17" i="2"/>
  <c r="W18" i="2"/>
  <c r="W12" i="2"/>
  <c r="V11" i="2"/>
  <c r="W11" i="2" s="1"/>
  <c r="V20" i="2"/>
  <c r="W20" i="2" s="1"/>
  <c r="V15" i="2"/>
  <c r="W15" i="2" s="1"/>
  <c r="V14" i="2"/>
  <c r="W14" i="2" s="1"/>
  <c r="V19" i="2"/>
  <c r="W19" i="2" s="1"/>
  <c r="V21" i="2"/>
  <c r="W21" i="2" s="1"/>
  <c r="V13" i="2"/>
  <c r="W13" i="2" s="1"/>
  <c r="V10" i="2"/>
  <c r="V5" i="2"/>
  <c r="W5" i="2" s="1"/>
  <c r="V2" i="2"/>
  <c r="W2" i="2" s="1"/>
  <c r="V4" i="2"/>
  <c r="W4" i="2" s="1"/>
  <c r="V3" i="2"/>
  <c r="W3" i="2" s="1"/>
  <c r="V9" i="2"/>
  <c r="W9" i="2" s="1"/>
  <c r="Y43" i="3" l="1"/>
  <c r="V43" i="3"/>
  <c r="W43" i="3" s="1"/>
  <c r="E4" i="1" l="1"/>
  <c r="E7" i="1"/>
  <c r="E8" i="1"/>
  <c r="E11" i="1"/>
  <c r="E12" i="1"/>
  <c r="E13" i="1"/>
  <c r="E2" i="1"/>
  <c r="E14" i="1"/>
  <c r="E19" i="1"/>
  <c r="E16" i="1"/>
  <c r="E3" i="1"/>
  <c r="AB26" i="1"/>
  <c r="E26" i="1" s="1"/>
  <c r="AB25" i="1"/>
  <c r="E25" i="1" s="1"/>
  <c r="AB27" i="1"/>
  <c r="E27" i="1" s="1"/>
  <c r="AB17" i="1"/>
  <c r="E17" i="1" s="1"/>
  <c r="AB18" i="1"/>
  <c r="E18" i="1" s="1"/>
  <c r="AB10" i="1"/>
  <c r="E10" i="1" s="1"/>
  <c r="AB9" i="1"/>
  <c r="E9" i="1" s="1"/>
  <c r="AB6" i="1"/>
  <c r="E6" i="1" s="1"/>
  <c r="AB5" i="1"/>
  <c r="E5" i="1" s="1"/>
  <c r="AI27" i="1" l="1"/>
  <c r="X27" i="1"/>
  <c r="U27" i="1"/>
  <c r="T27" i="1"/>
  <c r="AI16" i="1"/>
  <c r="Y16" i="1"/>
  <c r="X16" i="1"/>
  <c r="V16" i="1"/>
  <c r="W16" i="1" s="1"/>
  <c r="AI17" i="1"/>
  <c r="Y17" i="1"/>
  <c r="X17" i="1"/>
  <c r="V17" i="1"/>
  <c r="W17" i="1" s="1"/>
  <c r="AI18" i="1"/>
  <c r="Y18" i="1"/>
  <c r="X18" i="1"/>
  <c r="V18" i="1"/>
  <c r="AI19" i="1"/>
  <c r="Y19" i="1"/>
  <c r="X19" i="1"/>
  <c r="V19" i="1"/>
  <c r="W19" i="1" s="1"/>
  <c r="Y14" i="1"/>
  <c r="X14" i="1"/>
  <c r="W14" i="1"/>
  <c r="AI26" i="1"/>
  <c r="AI25" i="1"/>
  <c r="Y25" i="1"/>
  <c r="X25" i="1"/>
  <c r="W25" i="1"/>
  <c r="AI21" i="1"/>
  <c r="Y21" i="1"/>
  <c r="X21" i="1"/>
  <c r="V21" i="1"/>
  <c r="W21" i="1" s="1"/>
  <c r="Y2" i="1"/>
  <c r="X2" i="1"/>
  <c r="AC2" i="1"/>
  <c r="V2" i="1"/>
  <c r="AI13" i="1"/>
  <c r="Y13" i="1"/>
  <c r="X13" i="1"/>
  <c r="V13" i="1"/>
  <c r="W13" i="1" s="1"/>
  <c r="O13" i="1"/>
  <c r="Y12" i="1"/>
  <c r="X12" i="1"/>
  <c r="V12" i="1"/>
  <c r="W12" i="1" s="1"/>
  <c r="Y11" i="1"/>
  <c r="X11" i="1"/>
  <c r="V11" i="1"/>
  <c r="W11" i="1" s="1"/>
  <c r="AI10" i="1"/>
  <c r="Y10" i="1"/>
  <c r="X10" i="1"/>
  <c r="AC10" i="1"/>
  <c r="V10" i="1"/>
  <c r="W10" i="1" s="1"/>
  <c r="Y9" i="1"/>
  <c r="X9" i="1"/>
  <c r="AC9" i="1"/>
  <c r="W9" i="1"/>
  <c r="Y8" i="1"/>
  <c r="X8" i="1"/>
  <c r="AC8" i="1"/>
  <c r="V8" i="1"/>
  <c r="W8" i="1" s="1"/>
  <c r="Y7" i="1"/>
  <c r="X7" i="1"/>
  <c r="W7" i="1"/>
  <c r="Y6" i="1"/>
  <c r="X6" i="1"/>
  <c r="W6" i="1"/>
  <c r="AI5" i="1"/>
  <c r="Y5" i="1"/>
  <c r="X5" i="1"/>
  <c r="W5" i="1"/>
  <c r="Y4" i="1"/>
  <c r="X4" i="1"/>
  <c r="W4" i="1"/>
  <c r="Y3" i="1"/>
  <c r="X3" i="1"/>
  <c r="V3" i="1"/>
  <c r="W3" i="1" s="1"/>
  <c r="V27" i="1" l="1"/>
  <c r="W27" i="1" s="1"/>
  <c r="Y27" i="1"/>
</calcChain>
</file>

<file path=xl/sharedStrings.xml><?xml version="1.0" encoding="utf-8"?>
<sst xmlns="http://schemas.openxmlformats.org/spreadsheetml/2006/main" count="1653" uniqueCount="636">
  <si>
    <t>研究機関</t>
    <rPh sb="0" eb="2">
      <t>ケンキュウ</t>
    </rPh>
    <rPh sb="2" eb="4">
      <t>キカン</t>
    </rPh>
    <phoneticPr fontId="2"/>
  </si>
  <si>
    <t>国名</t>
    <rPh sb="0" eb="2">
      <t>クニメイ</t>
    </rPh>
    <phoneticPr fontId="2"/>
  </si>
  <si>
    <t>Fab</t>
    <phoneticPr fontId="2"/>
  </si>
  <si>
    <t>バンド</t>
    <phoneticPr fontId="2"/>
  </si>
  <si>
    <t>Supply voltage(V)</t>
    <phoneticPr fontId="2"/>
  </si>
  <si>
    <t>Lg(um)</t>
    <phoneticPr fontId="2"/>
  </si>
  <si>
    <t>Wg(um)</t>
    <phoneticPr fontId="2"/>
  </si>
  <si>
    <t>Imax(mA/mm)</t>
    <phoneticPr fontId="2"/>
  </si>
  <si>
    <t>Gm(mS/mm)</t>
    <phoneticPr fontId="2"/>
  </si>
  <si>
    <t>Ft(GHz)</t>
    <phoneticPr fontId="2"/>
  </si>
  <si>
    <t>Fmax(GHz)</t>
    <phoneticPr fontId="2"/>
  </si>
  <si>
    <t>min_NF(dB)</t>
  </si>
  <si>
    <t>Pout(dBm)</t>
  </si>
  <si>
    <t>Pout (mW)</t>
  </si>
  <si>
    <t>Pdc(W)</t>
    <phoneticPr fontId="2"/>
  </si>
  <si>
    <t>PAE(%)</t>
    <phoneticPr fontId="2"/>
  </si>
  <si>
    <t>BW(GHz)</t>
    <phoneticPr fontId="2"/>
  </si>
  <si>
    <t>Size(mm2)</t>
    <phoneticPr fontId="2"/>
  </si>
  <si>
    <t>種類</t>
    <rPh sb="0" eb="2">
      <t>シュルイ</t>
    </rPh>
    <phoneticPr fontId="2"/>
  </si>
  <si>
    <t>Technology</t>
    <phoneticPr fontId="2"/>
  </si>
  <si>
    <t>年代</t>
    <rPh sb="0" eb="2">
      <t>ネンダイ</t>
    </rPh>
    <phoneticPr fontId="2"/>
  </si>
  <si>
    <t>Northrop</t>
    <phoneticPr fontId="2"/>
  </si>
  <si>
    <t>US</t>
    <phoneticPr fontId="2"/>
  </si>
  <si>
    <t>850GHz</t>
    <phoneticPr fontId="2"/>
  </si>
  <si>
    <t>CPW thru-line with WR1.2 waveguide transitions</t>
    <phoneticPr fontId="2"/>
  </si>
  <si>
    <t>Packaged</t>
    <phoneticPr fontId="2"/>
  </si>
  <si>
    <t>850 GHz Receiver and Transmitter Front-Ends Using InP HEMT</t>
    <phoneticPr fontId="2"/>
  </si>
  <si>
    <t>Kevin M. K. H. Leong</t>
    <phoneticPr fontId="2"/>
  </si>
  <si>
    <t>16_</t>
  </si>
  <si>
    <t>InP HEMT Integrated Circuits operating above 1,000 GHz</t>
    <phoneticPr fontId="2"/>
  </si>
  <si>
    <t>W.R. Deal</t>
    <phoneticPr fontId="2"/>
  </si>
  <si>
    <t>30_</t>
  </si>
  <si>
    <t>A Low-Power 670-GHz InP HEMT Receiver</t>
    <phoneticPr fontId="2"/>
  </si>
  <si>
    <t>18_</t>
  </si>
  <si>
    <t>19_</t>
  </si>
  <si>
    <t>MMIC</t>
    <phoneticPr fontId="2"/>
  </si>
  <si>
    <t>First Demonstration of Amplification at 1 THz Using 25-nm InP High Electron Mobility Transistor Process</t>
    <phoneticPr fontId="2"/>
  </si>
  <si>
    <t>Xiaobing Mei</t>
    <phoneticPr fontId="2"/>
  </si>
  <si>
    <t>23_</t>
    <phoneticPr fontId="2"/>
  </si>
  <si>
    <t>0.3-0.6</t>
    <phoneticPr fontId="2"/>
  </si>
  <si>
    <t>Progress in InP HEMT Submillimeter Wave Circuits and Packaging</t>
    <phoneticPr fontId="2"/>
  </si>
  <si>
    <t>K. Leong</t>
    <phoneticPr fontId="2"/>
  </si>
  <si>
    <t>29_</t>
  </si>
  <si>
    <t>A 0.85 THz Low Noise Amplifier Using InP HEMT Transistors</t>
    <phoneticPr fontId="2"/>
  </si>
  <si>
    <t>24_</t>
  </si>
  <si>
    <t>A 170-280 GHz InP HEMT Low Noise Amplifier</t>
    <phoneticPr fontId="2"/>
  </si>
  <si>
    <t>Alexis Zamora</t>
    <phoneticPr fontId="2"/>
  </si>
  <si>
    <t>22_</t>
    <phoneticPr fontId="2"/>
  </si>
  <si>
    <t>Recent progress in scaling InP HEMT TMIC technology to 850 GHz</t>
    <phoneticPr fontId="2"/>
  </si>
  <si>
    <t>W. R. Deal</t>
    <phoneticPr fontId="2"/>
  </si>
  <si>
    <t>31_</t>
    <phoneticPr fontId="2"/>
  </si>
  <si>
    <t>Low noise amplifiation at 0.67 THz USIng 30 nm InP HEMT</t>
    <phoneticPr fontId="2"/>
  </si>
  <si>
    <t>25_</t>
  </si>
  <si>
    <t>A 220 GHz Dual Channel LNA Front-End for a Direct Detection Polarimetric Receiver</t>
    <phoneticPr fontId="2"/>
  </si>
  <si>
    <t>Caitlyn M. Cooke</t>
    <phoneticPr fontId="2"/>
  </si>
  <si>
    <t>28_</t>
  </si>
  <si>
    <t>QuinStar Technology</t>
    <phoneticPr fontId="2"/>
  </si>
  <si>
    <t>E/W-band</t>
    <phoneticPr fontId="2"/>
  </si>
  <si>
    <t>35nm InP HEMT LNAs at E/W-Band Frequencies</t>
    <phoneticPr fontId="2"/>
  </si>
  <si>
    <t>15_</t>
  </si>
  <si>
    <t>Active wave technology</t>
    <phoneticPr fontId="2"/>
  </si>
  <si>
    <t>W-band</t>
    <phoneticPr fontId="2"/>
  </si>
  <si>
    <t>A W-band 100nm InP HEMT Ultra Low Noise Amplifier</t>
    <phoneticPr fontId="2"/>
  </si>
  <si>
    <t>14_</t>
  </si>
  <si>
    <t>7_</t>
  </si>
  <si>
    <t>Fujitsu</t>
    <phoneticPr fontId="2"/>
  </si>
  <si>
    <t>Japan</t>
    <phoneticPr fontId="2"/>
  </si>
  <si>
    <t>8_</t>
  </si>
  <si>
    <t>W-band Transmitter and Receiver Modules for 10-Gb/s Impulse Radio</t>
    <phoneticPr fontId="2"/>
  </si>
  <si>
    <t>9_</t>
  </si>
  <si>
    <t>10_</t>
  </si>
  <si>
    <t>20_</t>
  </si>
  <si>
    <t>ETH-Zürich</t>
    <phoneticPr fontId="2"/>
  </si>
  <si>
    <t>Switherland</t>
    <phoneticPr fontId="2"/>
  </si>
  <si>
    <t>ETH</t>
    <phoneticPr fontId="2"/>
  </si>
  <si>
    <t>11_</t>
  </si>
  <si>
    <t>1THz</t>
    <phoneticPr fontId="2"/>
  </si>
  <si>
    <t>Freq.(GHz)</t>
    <phoneticPr fontId="2"/>
  </si>
  <si>
    <t>DOI</t>
    <phoneticPr fontId="2"/>
  </si>
  <si>
    <t>1st Author</t>
    <phoneticPr fontId="2"/>
  </si>
  <si>
    <t>Title</t>
    <phoneticPr fontId="2"/>
  </si>
  <si>
    <t>Gain(dB)</t>
    <phoneticPr fontId="2"/>
  </si>
  <si>
    <t>Peak Gain(dB)</t>
    <phoneticPr fontId="2"/>
  </si>
  <si>
    <t>Min Gain(dB)</t>
    <phoneticPr fontId="2"/>
  </si>
  <si>
    <t>*dB_BW</t>
    <phoneticPr fontId="2"/>
  </si>
  <si>
    <t>FL(Gain)(GHz)</t>
    <phoneticPr fontId="2"/>
  </si>
  <si>
    <t>FC(P.Gain)(GHz)</t>
    <phoneticPr fontId="2"/>
  </si>
  <si>
    <t>FL(NF)(GHz)</t>
    <phoneticPr fontId="2"/>
  </si>
  <si>
    <t>FH(NF)(GHz)</t>
    <phoneticPr fontId="2"/>
  </si>
  <si>
    <t>FC(NF)(GHz)</t>
    <phoneticPr fontId="2"/>
  </si>
  <si>
    <t>FH(Gain)(GHz)</t>
    <phoneticPr fontId="2"/>
  </si>
  <si>
    <t>References</t>
    <phoneticPr fontId="2"/>
  </si>
  <si>
    <t>Stage</t>
  </si>
  <si>
    <t>Stage</t>
    <phoneticPr fontId="2"/>
  </si>
  <si>
    <t>Technische Universität Dresden</t>
    <phoneticPr fontId="2"/>
  </si>
  <si>
    <t>Germany</t>
    <phoneticPr fontId="2"/>
  </si>
  <si>
    <t>Teledyne</t>
    <phoneticPr fontId="2"/>
  </si>
  <si>
    <t>G-band</t>
    <phoneticPr fontId="2"/>
  </si>
  <si>
    <t>University of California, Santa Barbara</t>
    <phoneticPr fontId="2"/>
  </si>
  <si>
    <t>University of California, Santa Barbara</t>
  </si>
  <si>
    <t>imec</t>
    <phoneticPr fontId="2"/>
  </si>
  <si>
    <t>Belgium</t>
    <phoneticPr fontId="2"/>
  </si>
  <si>
    <t>D-band</t>
    <phoneticPr fontId="2"/>
  </si>
  <si>
    <t>Ferdinand-Braun-Institut</t>
  </si>
  <si>
    <t>FBH transferred-substrate (TS) InP-DHBT MMIC process</t>
    <phoneticPr fontId="2"/>
  </si>
  <si>
    <t>Chalmers University of Technology</t>
    <phoneticPr fontId="2"/>
  </si>
  <si>
    <t>Sweden</t>
    <phoneticPr fontId="2"/>
  </si>
  <si>
    <t>Ferdinand-Braun-Institut (FBH),</t>
    <phoneticPr fontId="2"/>
  </si>
  <si>
    <t>Sungkyunkwan University</t>
    <phoneticPr fontId="2"/>
  </si>
  <si>
    <t>Korea</t>
    <phoneticPr fontId="2"/>
  </si>
  <si>
    <t>Korea University</t>
    <phoneticPr fontId="2"/>
  </si>
  <si>
    <t>H-band</t>
    <phoneticPr fontId="2"/>
  </si>
  <si>
    <t>Chalmers University of Technology</t>
  </si>
  <si>
    <t>Teledyne</t>
  </si>
  <si>
    <t>University of California at Santa Barbara</t>
    <phoneticPr fontId="2"/>
  </si>
  <si>
    <t>beta</t>
    <phoneticPr fontId="2"/>
  </si>
  <si>
    <t>Ft(GHz)</t>
  </si>
  <si>
    <t>Fmax(GHz)</t>
  </si>
  <si>
    <t>FL(Gain)</t>
  </si>
  <si>
    <t>FH(Gain)</t>
  </si>
  <si>
    <t>at 150GHz</t>
    <phoneticPr fontId="2"/>
  </si>
  <si>
    <t>WR05</t>
    <phoneticPr fontId="2"/>
  </si>
  <si>
    <t>WR03</t>
    <phoneticPr fontId="2"/>
  </si>
  <si>
    <t>module</t>
    <phoneticPr fontId="2"/>
  </si>
  <si>
    <t>MMIC</t>
  </si>
  <si>
    <t>ac-coupled two-stage cascode topology</t>
    <phoneticPr fontId="2"/>
  </si>
  <si>
    <t>Paul Stärke</t>
    <phoneticPr fontId="2"/>
  </si>
  <si>
    <t>18_</t>
    <phoneticPr fontId="2"/>
  </si>
  <si>
    <t>CE</t>
    <phoneticPr fontId="2"/>
  </si>
  <si>
    <t>200 GHz Low Noise Amplifiers in 250 nm InP HBT
Technology</t>
    <phoneticPr fontId="2"/>
  </si>
  <si>
    <t>Utku Soylu</t>
    <phoneticPr fontId="2"/>
  </si>
  <si>
    <t>Utku Soylu</t>
  </si>
  <si>
    <t>A 120–140-GHz LNA in 250-nm InP HBT</t>
    <phoneticPr fontId="2"/>
  </si>
  <si>
    <t>Vikas Chauhan</t>
    <phoneticPr fontId="2"/>
  </si>
  <si>
    <t>2-way combined cascode unit power cell</t>
    <phoneticPr fontId="2"/>
  </si>
  <si>
    <t>M. Hossain</t>
    <phoneticPr fontId="2"/>
  </si>
  <si>
    <t>21_</t>
  </si>
  <si>
    <t>Ahmed Hassona</t>
  </si>
  <si>
    <t>1_</t>
    <phoneticPr fontId="2"/>
  </si>
  <si>
    <t>Tricode</t>
    <phoneticPr fontId="2"/>
  </si>
  <si>
    <t>Tanjil Shivan</t>
    <phoneticPr fontId="2"/>
  </si>
  <si>
    <t>2_</t>
  </si>
  <si>
    <t>Receiver</t>
    <phoneticPr fontId="2"/>
  </si>
  <si>
    <t>Sungbin Kang</t>
    <phoneticPr fontId="2"/>
  </si>
  <si>
    <t>3_</t>
  </si>
  <si>
    <t>4_</t>
  </si>
  <si>
    <t>Cascode</t>
    <phoneticPr fontId="2"/>
  </si>
  <si>
    <t>THz MMICs based on InP HBT Technology</t>
    <phoneticPr fontId="2"/>
  </si>
  <si>
    <t>Jonathan Hacker</t>
    <phoneticPr fontId="2"/>
  </si>
  <si>
    <t>5_</t>
  </si>
  <si>
    <t>Design and Characterization of H-Band(220–325 GHz) Amplifiers in a 250-nm InP DHBT Technology</t>
    <phoneticPr fontId="2"/>
  </si>
  <si>
    <t>Klas Eriksson</t>
    <phoneticPr fontId="2"/>
  </si>
  <si>
    <t>6_</t>
  </si>
  <si>
    <t>InP DHBT Amplifier Modules Operating Between 150–300 GHz Using Membrane Technology</t>
    <phoneticPr fontId="2"/>
  </si>
  <si>
    <t>THz InP Bipolar Transistors- Circuit Integration and Applications</t>
    <phoneticPr fontId="2"/>
  </si>
  <si>
    <t>M. Urteaga</t>
    <phoneticPr fontId="2"/>
  </si>
  <si>
    <t>Cascode conventinal DA</t>
    <phoneticPr fontId="2"/>
  </si>
  <si>
    <t>InP DHBT distributed amplifiers with up to 235-GHz bandwidth</t>
    <phoneticPr fontId="2"/>
  </si>
  <si>
    <t>Cascode singele-stage DA</t>
    <phoneticPr fontId="2"/>
  </si>
  <si>
    <t>Cascoed 2cascaded</t>
    <phoneticPr fontId="2"/>
  </si>
  <si>
    <t>InP HBT technologies for THz integrated circuits</t>
    <phoneticPr fontId="2"/>
  </si>
  <si>
    <t>12_</t>
  </si>
  <si>
    <t>CB, differential</t>
    <phoneticPr fontId="2"/>
  </si>
  <si>
    <t>400 GHz HBT differential amplifier using unbalanced feed networks</t>
    <phoneticPr fontId="2"/>
  </si>
  <si>
    <t>J. Hacker</t>
    <phoneticPr fontId="2"/>
  </si>
  <si>
    <t>An Ultra-Low-Power Dual-Polarization Transceiver Front-End for 94-GHz Phased Arrays in 130-nm InP HBT</t>
    <phoneticPr fontId="2"/>
  </si>
  <si>
    <t>Seong-Kyun Kim</t>
    <phoneticPr fontId="2"/>
  </si>
  <si>
    <t>15_</t>
    <phoneticPr fontId="2"/>
  </si>
  <si>
    <t>16_</t>
    <phoneticPr fontId="2"/>
  </si>
  <si>
    <t>High-linearity W-band Amplifiers in 130 nm InP HBT Technology</t>
    <phoneticPr fontId="2"/>
  </si>
  <si>
    <t>Robert Maurer</t>
    <phoneticPr fontId="2"/>
  </si>
  <si>
    <t>17_</t>
    <phoneticPr fontId="2"/>
  </si>
  <si>
    <t>Teledyneのまとめ</t>
    <phoneticPr fontId="2"/>
  </si>
  <si>
    <t>CE, tranceiver</t>
    <phoneticPr fontId="2"/>
  </si>
  <si>
    <t>NF(dB)_InP HBT</t>
    <phoneticPr fontId="2"/>
  </si>
  <si>
    <t>Gain/stage(dB)_InP HBT</t>
    <phoneticPr fontId="2"/>
  </si>
  <si>
    <t>NF(dB)_InP HEMT</t>
    <phoneticPr fontId="2"/>
  </si>
  <si>
    <t>Gain/stage(dB)_InP HEMT</t>
    <phoneticPr fontId="2"/>
  </si>
  <si>
    <t>Fraunhofer</t>
  </si>
  <si>
    <t>IAF</t>
    <phoneticPr fontId="2"/>
  </si>
  <si>
    <t>BAE Systems</t>
    <phoneticPr fontId="2"/>
  </si>
  <si>
    <t>BAE</t>
    <phoneticPr fontId="2"/>
  </si>
  <si>
    <t>Aalto University</t>
    <phoneticPr fontId="2"/>
  </si>
  <si>
    <t>Finland</t>
  </si>
  <si>
    <t>Sony Deutschland GmbH</t>
    <phoneticPr fontId="2"/>
  </si>
  <si>
    <t>Germany</t>
  </si>
  <si>
    <t>Fraunhofer</t>
    <phoneticPr fontId="2"/>
  </si>
  <si>
    <t>Israel Institute of Technology</t>
    <phoneticPr fontId="2"/>
  </si>
  <si>
    <t>Israel</t>
  </si>
  <si>
    <t>Sweden</t>
  </si>
  <si>
    <t>four cascode
stages</t>
    <phoneticPr fontId="2"/>
  </si>
  <si>
    <t>Bersant Gashi</t>
  </si>
  <si>
    <t>37_</t>
    <phoneticPr fontId="2"/>
  </si>
  <si>
    <t>three cascode stages</t>
    <phoneticPr fontId="2"/>
  </si>
  <si>
    <t>Rainer Weber</t>
  </si>
  <si>
    <t>38_</t>
  </si>
  <si>
    <t>An all-active MMIC-based chip set for a wideband 260–304 GHz receiver</t>
    <phoneticPr fontId="2"/>
  </si>
  <si>
    <t>I. Kallfass</t>
  </si>
  <si>
    <t>39_</t>
  </si>
  <si>
    <t>CS, Single-end</t>
    <phoneticPr fontId="2"/>
  </si>
  <si>
    <t>Fabian Thome</t>
    <phoneticPr fontId="2"/>
  </si>
  <si>
    <t>01_</t>
    <phoneticPr fontId="2"/>
  </si>
  <si>
    <t>CS, Balanced</t>
    <phoneticPr fontId="2"/>
  </si>
  <si>
    <t>Module</t>
    <phoneticPr fontId="2"/>
  </si>
  <si>
    <t>A 300 GHz Low-Noise Amplifier S-MMIC for Use in Next-Generation Imaging and Communication Applications</t>
    <phoneticPr fontId="2"/>
  </si>
  <si>
    <t>A. Tessmann</t>
    <phoneticPr fontId="2"/>
  </si>
  <si>
    <t>02_</t>
    <phoneticPr fontId="2"/>
  </si>
  <si>
    <t>CS, LNA1</t>
    <phoneticPr fontId="2"/>
  </si>
  <si>
    <t>Comparison of a 35-nm and a 50-nm Gate-Length Metamorphic HEMT Technology for Millimeter-Wave Low-Noise Amplifier MMICs</t>
    <phoneticPr fontId="2"/>
  </si>
  <si>
    <t>04_</t>
    <phoneticPr fontId="2"/>
  </si>
  <si>
    <t>CS, LNA2</t>
  </si>
  <si>
    <t>CS</t>
    <phoneticPr fontId="2"/>
  </si>
  <si>
    <t>D-Band Low-Noise Amplifier MMIC with 50 % Bandwidth and 3.0 dB Noise Figure in 100 nm and 50 nm mHEMT Technology</t>
    <phoneticPr fontId="2"/>
  </si>
  <si>
    <t>05_</t>
    <phoneticPr fontId="2"/>
  </si>
  <si>
    <t>06_</t>
    <phoneticPr fontId="2"/>
  </si>
  <si>
    <t>Advanced Building Blocks for (Sub-)Millimeter-Wave Applications in Space, Communication, and Sensing Using III/V mHEMT Technology</t>
    <phoneticPr fontId="2"/>
  </si>
  <si>
    <t>Michael Schlechtweg</t>
  </si>
  <si>
    <t>07_</t>
    <phoneticPr fontId="2"/>
  </si>
  <si>
    <t>Giuseppe Moschetti</t>
    <phoneticPr fontId="2"/>
  </si>
  <si>
    <t>08_</t>
    <phoneticPr fontId="2"/>
  </si>
  <si>
    <t>Low Noise Amplifier MMICs for 325 GHz Radiometric Applications</t>
    <phoneticPr fontId="2"/>
  </si>
  <si>
    <t>S. Diebold</t>
  </si>
  <si>
    <t>09_</t>
    <phoneticPr fontId="2"/>
  </si>
  <si>
    <t>20 nm Metamorphic HEMT Technology for Terahertz Monolithic Integrated Circuits</t>
    <phoneticPr fontId="2"/>
  </si>
  <si>
    <t>Arnulf Leuther</t>
    <phoneticPr fontId="2"/>
  </si>
  <si>
    <t>A 600 GHz Low-Noise Amplifier Module</t>
    <phoneticPr fontId="2"/>
  </si>
  <si>
    <t>A 50nm MHEMT Millimeter-Wave MMIC LNA with Wideband Noise and Gain Performance</t>
    <phoneticPr fontId="2"/>
  </si>
  <si>
    <t>Phillip M. Smith</t>
    <phoneticPr fontId="2"/>
  </si>
  <si>
    <t>Comparison of Two W-Band Low-Noise Amplifier MMICs with Ultra Low Power Consumption Based on 50 nm InGaAs mHEMT Technology</t>
    <phoneticPr fontId="2"/>
  </si>
  <si>
    <t>13_</t>
  </si>
  <si>
    <t>MHEMT G-Band Low-Noise Amplifiers</t>
    <phoneticPr fontId="2"/>
  </si>
  <si>
    <t>Mikko Kärkkäinen</t>
    <phoneticPr fontId="2"/>
  </si>
  <si>
    <t>14a_</t>
    <phoneticPr fontId="2"/>
  </si>
  <si>
    <t>A 243 GHz Low-Noise Amplifier Module for Use in Next-Generation Direct Detection Radiometers</t>
    <phoneticPr fontId="2"/>
  </si>
  <si>
    <t>Compact 110-170 GHz Amplifier in 50 nm mHEMT Technology with 25 dB Gain</t>
    <phoneticPr fontId="2"/>
  </si>
  <si>
    <t>T. Merkle</t>
    <phoneticPr fontId="2"/>
  </si>
  <si>
    <t>Metamorphic HEMT Technology for Microwave, Millimeter-Wave, and Submillimeter-Wave Applications</t>
    <phoneticPr fontId="2"/>
  </si>
  <si>
    <t>James J. Komiak</t>
    <phoneticPr fontId="2"/>
  </si>
  <si>
    <t>35 nm mHEMT Technology for THz and ultra low noise applications</t>
    <phoneticPr fontId="2"/>
  </si>
  <si>
    <t>A. Leuther</t>
  </si>
  <si>
    <t>A 243 GHz LNA Module Based on mHEMT MMICs With Integrated Waveguide Transitions</t>
    <phoneticPr fontId="2"/>
  </si>
  <si>
    <t>V. Hurm</t>
    <phoneticPr fontId="2"/>
  </si>
  <si>
    <t>19_</t>
    <phoneticPr fontId="2"/>
  </si>
  <si>
    <t>An H-Band Low-Noise Amplifier MMIC in 35 nm Metamorphic HEMT Technology</t>
    <phoneticPr fontId="2"/>
  </si>
  <si>
    <t>Rainer Weber</t>
    <phoneticPr fontId="2"/>
  </si>
  <si>
    <t>Cascade</t>
    <phoneticPr fontId="2"/>
  </si>
  <si>
    <t>Ultra Wideband Cascaded Low Noise Amplifier Implemented in 100-nm GaAs Metamorphic-HEMT Technology</t>
    <phoneticPr fontId="2"/>
  </si>
  <si>
    <t>Aleksey Dyskin</t>
    <phoneticPr fontId="2"/>
  </si>
  <si>
    <t>Integrated Front-ends up to 200 GHz</t>
    <phoneticPr fontId="2"/>
  </si>
  <si>
    <t>V. Vassilev</t>
    <phoneticPr fontId="2"/>
  </si>
  <si>
    <t>23_</t>
  </si>
  <si>
    <t>20 NM METAMORPHIC HEMT WITH 660 GHZ FT</t>
    <phoneticPr fontId="2"/>
  </si>
  <si>
    <t>A. LEUTHER</t>
    <phoneticPr fontId="2"/>
  </si>
  <si>
    <t>A Metamorphic HEMT S-MMIC Amplifier with 16.1 dB Gain at 460 GHz</t>
    <phoneticPr fontId="2"/>
  </si>
  <si>
    <t>A. Tessmann</t>
  </si>
  <si>
    <t>27_</t>
  </si>
  <si>
    <t>cascode</t>
    <phoneticPr fontId="2"/>
  </si>
  <si>
    <t>High-Gain Submillimeter-Wave mHEMT Amplifier MMICs</t>
    <phoneticPr fontId="2"/>
  </si>
  <si>
    <t>29_</t>
    <phoneticPr fontId="2"/>
  </si>
  <si>
    <t>Low-Noise Amplifiers in D-Band Using 100 nm and 50 nm mHEMT Technology</t>
    <phoneticPr fontId="2"/>
  </si>
  <si>
    <t>E. Weissbrodt</t>
    <phoneticPr fontId="2"/>
  </si>
  <si>
    <t>32_</t>
  </si>
  <si>
    <t>Metamorphic HEMT technology for low-noise applications</t>
    <phoneticPr fontId="2"/>
  </si>
  <si>
    <t>A. Leuther</t>
    <phoneticPr fontId="2"/>
  </si>
  <si>
    <t>33_</t>
    <phoneticPr fontId="2"/>
  </si>
  <si>
    <t>Metamorphic HEMT MMIC and modules for use in a high-bandwidth 210 GHz radar</t>
    <phoneticPr fontId="2"/>
  </si>
  <si>
    <t>34_</t>
  </si>
  <si>
    <t>A metamorphic 220–320 GHz HEMT amplifier MMIC</t>
    <phoneticPr fontId="2"/>
  </si>
  <si>
    <t>35_</t>
  </si>
  <si>
    <t>220 GHz low-noise amplifier modules for radiometric imaging applications</t>
    <phoneticPr fontId="2"/>
  </si>
  <si>
    <t>36_</t>
  </si>
  <si>
    <t>Mixer含む</t>
    <rPh sb="5" eb="6">
      <t>フク</t>
    </rPh>
    <phoneticPr fontId="2"/>
  </si>
  <si>
    <t>LNA1</t>
  </si>
  <si>
    <t>LNA2</t>
  </si>
  <si>
    <t>LNA3</t>
  </si>
  <si>
    <t>LNA4</t>
  </si>
  <si>
    <t>LNA5</t>
  </si>
  <si>
    <t>引き出しをレーザー</t>
    <rPh sb="0" eb="1">
      <t>ヒ</t>
    </rPh>
    <rPh sb="2" eb="3">
      <t>ダ</t>
    </rPh>
    <phoneticPr fontId="2"/>
  </si>
  <si>
    <t>core, version1</t>
    <phoneticPr fontId="2"/>
  </si>
  <si>
    <t>core, version2</t>
    <phoneticPr fontId="2"/>
  </si>
  <si>
    <t>Gain/stage(dB)_mHEMT</t>
    <phoneticPr fontId="2"/>
  </si>
  <si>
    <t>NF(dB)_mHEMT</t>
    <phoneticPr fontId="2"/>
  </si>
  <si>
    <t>Qorvo</t>
    <phoneticPr fontId="2"/>
  </si>
  <si>
    <t>E-band</t>
    <phoneticPr fontId="2"/>
  </si>
  <si>
    <t>China Academy of Engineering Physics</t>
    <phoneticPr fontId="2"/>
  </si>
  <si>
    <t>China</t>
    <phoneticPr fontId="2"/>
  </si>
  <si>
    <t>OMMIC D01GH</t>
    <phoneticPr fontId="2"/>
  </si>
  <si>
    <t>b02_</t>
    <phoneticPr fontId="2"/>
  </si>
  <si>
    <t>Kevin W. Kobayashi</t>
    <phoneticPr fontId="2"/>
  </si>
  <si>
    <t>b01_</t>
    <phoneticPr fontId="2"/>
  </si>
  <si>
    <t>LNA-1</t>
    <phoneticPr fontId="2"/>
  </si>
  <si>
    <t>Low-noise amplifiers using 100-nm gate length GaN-on-silicon process in W-band</t>
    <phoneticPr fontId="2"/>
  </si>
  <si>
    <t>X. Tong</t>
    <phoneticPr fontId="2"/>
  </si>
  <si>
    <t>b03</t>
    <phoneticPr fontId="2"/>
  </si>
  <si>
    <t>LNA-2</t>
  </si>
  <si>
    <t>W/D-band</t>
    <phoneticPr fontId="2"/>
  </si>
  <si>
    <t>S-para</t>
    <phoneticPr fontId="2"/>
  </si>
  <si>
    <t>NF</t>
    <phoneticPr fontId="2"/>
  </si>
  <si>
    <t>Power</t>
    <phoneticPr fontId="2"/>
  </si>
  <si>
    <t>A Beyond 110 GHz GaN Cascode Low-Noise Amplifier with 20.3 dBm Output Power</t>
    <phoneticPr fontId="2"/>
  </si>
  <si>
    <t>HRL</t>
    <phoneticPr fontId="2"/>
  </si>
  <si>
    <t>two five-stage amplifiers being balanced with a Lange Coupler</t>
    <phoneticPr fontId="2"/>
  </si>
  <si>
    <t>First Demonstration of Broadband W-band and D-band GaN MMICs for Next Generation Communication Systems</t>
    <phoneticPr fontId="2"/>
  </si>
  <si>
    <t>Ara Kurdoghlian</t>
    <phoneticPr fontId="2"/>
  </si>
  <si>
    <t>12_</t>
    <phoneticPr fontId="2"/>
  </si>
  <si>
    <t>Ara Kurdoghlian</t>
  </si>
  <si>
    <t>Raytheon Company</t>
  </si>
  <si>
    <t>Raytheon</t>
    <phoneticPr fontId="2"/>
  </si>
  <si>
    <t>amp area</t>
    <phoneticPr fontId="2"/>
  </si>
  <si>
    <t>baseline</t>
    <phoneticPr fontId="2"/>
  </si>
  <si>
    <t>Wideband W-Band GaN LNA MMIC with State-of-the-Art Noise Figure</t>
    <phoneticPr fontId="2"/>
  </si>
  <si>
    <t>S. Lardizabal</t>
    <phoneticPr fontId="2"/>
  </si>
  <si>
    <t>17_</t>
  </si>
  <si>
    <t>Asvanced</t>
    <phoneticPr fontId="2"/>
  </si>
  <si>
    <t>T3</t>
    <phoneticPr fontId="2"/>
  </si>
  <si>
    <t>HRLまとめ</t>
    <phoneticPr fontId="2"/>
  </si>
  <si>
    <t xml:space="preserve">W-Band GaN Receiver Components Utilizing Highly Scaled, Next Generation GaN Device Technology </t>
    <phoneticPr fontId="2"/>
  </si>
  <si>
    <t>A. Margomenos</t>
    <phoneticPr fontId="2"/>
  </si>
  <si>
    <t>GaN Technology for E, W and G-band Applications</t>
    <phoneticPr fontId="2"/>
  </si>
  <si>
    <t>A cascade of four common-source transistors of 4
x
f
25
gate width each is used</t>
    <phoneticPr fontId="2"/>
  </si>
  <si>
    <t>A highly linear 84 GHz low noise amplifier MMIC in AlGaN/GaN HEMT technology</t>
    <phoneticPr fontId="2"/>
  </si>
  <si>
    <t>35_</t>
    <phoneticPr fontId="2"/>
  </si>
  <si>
    <t>GaN MMIC amplifiers for W-band transceivers</t>
    <phoneticPr fontId="2"/>
  </si>
  <si>
    <t>S. Masuda</t>
  </si>
  <si>
    <t>38_</t>
    <phoneticPr fontId="2"/>
  </si>
  <si>
    <t>Gain/stage(dB)_GaN HEMT</t>
    <phoneticPr fontId="2"/>
  </si>
  <si>
    <t>NF(dB)_GaN HEMT</t>
    <phoneticPr fontId="2"/>
  </si>
  <si>
    <t>A Wideband E/W-Band Low-Noise Amplifier MMIC in a 70-nm Gate-Length GaN HEMT Technology</t>
    <phoneticPr fontId="2"/>
  </si>
  <si>
    <t xml:space="preserve"> IEEE Transactions on Microwave Theory and Techniques, vol. 70, no. 2, pp. 1367-1376, Feb. 2022</t>
    <phoneticPr fontId="2"/>
  </si>
  <si>
    <t>https://doi.org/10.1109/TMTT.2021.3134645</t>
    <phoneticPr fontId="2"/>
  </si>
  <si>
    <t>2018 IEEE/MTT-S International Microwave Symposium - IMS, 2018, pp. 1499-1502</t>
    <phoneticPr fontId="2"/>
  </si>
  <si>
    <t>https://doi.org/10.1109/MWSYM.2018.8439698</t>
    <phoneticPr fontId="2"/>
  </si>
  <si>
    <t>2011 IEEE MTT-S International Microwave Workshop Series on Millimeter Wave Integration Technologies, 2011, pp. 144-147</t>
    <phoneticPr fontId="2"/>
  </si>
  <si>
    <t>https://doi.org/10.1109/IMWS3.2011.6061860</t>
    <phoneticPr fontId="2"/>
  </si>
  <si>
    <t>2017 IEEE MTT-S International Microwave Symposium (IMS), 2017, pp. 1126-1128</t>
    <phoneticPr fontId="2"/>
  </si>
  <si>
    <t>https://doi.org/10.1109/MWSYM.2017.8058796</t>
    <phoneticPr fontId="2"/>
  </si>
  <si>
    <t>2014 IEEE Compound Semiconductor Integrated Circuit Symposium (CSICS), 2014, pp. 1-4</t>
    <phoneticPr fontId="2"/>
  </si>
  <si>
    <t>https://doi.org/10.1109/CSICS.2014.6978585</t>
    <phoneticPr fontId="2"/>
  </si>
  <si>
    <t>A Broadband 70–110-GHz E-/W-Band LNA Using a 90-nm T-Gate GaN HEMT Technology</t>
    <phoneticPr fontId="2"/>
  </si>
  <si>
    <t xml:space="preserve"> IEEE Microwave and Wireless Components Letters, vol. 31, no. 7, pp. 885-888, July 2021</t>
    <phoneticPr fontId="2"/>
  </si>
  <si>
    <t>https://doi.org/10.1109/LMWC.2021.3076360</t>
    <phoneticPr fontId="2"/>
  </si>
  <si>
    <t>2016 IEEE Compound Semiconductor Integrated Circuit Symposium (CSICS), 2016, pp. 1-4</t>
    <phoneticPr fontId="2"/>
  </si>
  <si>
    <t>https://doi.org/10.1109/CSICS.2016.7751079</t>
    <phoneticPr fontId="2"/>
  </si>
  <si>
    <t>IEEE Microwave and Wireless Components Letters, vol. 30, no. 10, pp. 957-960, Oct. 2020</t>
    <phoneticPr fontId="2"/>
  </si>
  <si>
    <t>https://doi.org/10.1109/LMWC.2020.3019816</t>
    <phoneticPr fontId="2"/>
  </si>
  <si>
    <t>2009 European Microwave Integrated Circuits Conference (EuMIC), 2009, pp. 443-446</t>
    <phoneticPr fontId="2"/>
  </si>
  <si>
    <t>https://doi.org/10.1109/CSICS.2014.6978559</t>
    <phoneticPr fontId="2"/>
  </si>
  <si>
    <t>IEEE Transactions on Terahertz Science and Technology, vol. 7, no. 4, pp. 466-475, July 2017</t>
    <phoneticPr fontId="2"/>
  </si>
  <si>
    <t>https://doi.org/10.1109/TTHZ.2017.2710632</t>
    <phoneticPr fontId="2"/>
  </si>
  <si>
    <t>2016 IEEE International Electron Devices Meeting (IEDM), 2016, pp. 29.1.1-29.1.4</t>
    <phoneticPr fontId="2"/>
  </si>
  <si>
    <t>https://doi.org/10.1109/IEDM.2016.7838502</t>
    <phoneticPr fontId="2"/>
  </si>
  <si>
    <t>IEEE Transactions on Terahertz Science and Technology, vol. 6, no. 6, pp. 862-864, Nov. 2016</t>
    <phoneticPr fontId="2"/>
  </si>
  <si>
    <t>https://doi.org/10.1109/TTHZ.2016.2614264</t>
    <phoneticPr fontId="2"/>
  </si>
  <si>
    <t>A 670 GHz Low Noise Amplifier with &lt;10 dB Packaged Noise Figure</t>
    <phoneticPr fontId="2"/>
  </si>
  <si>
    <t>IEEE Microwave and Wireless Components Letters, vol. 26, no. 10, pp. 837-839, Oct. 2016</t>
    <phoneticPr fontId="2"/>
  </si>
  <si>
    <t>https://doi.org/10.1109/LMWC.2016.2605458</t>
    <phoneticPr fontId="2"/>
  </si>
  <si>
    <t>IEEE Electron Device Letters, vol. 36, no. 4, pp. 327-329, April 2015</t>
    <phoneticPr fontId="2"/>
  </si>
  <si>
    <t>https://doi.org/10.1109/LED.2015.2407193</t>
    <phoneticPr fontId="2"/>
  </si>
  <si>
    <t>2015 IEEE Compound Semiconductor Integrated Circuit Symposium (CSICS), 2015, pp. 1-4</t>
    <phoneticPr fontId="2"/>
  </si>
  <si>
    <t>https://doi.org/10.1109/CSICS.2015.7314521</t>
    <phoneticPr fontId="2"/>
  </si>
  <si>
    <t>IEEE Microwave and Wireless Components Letters, vol. 25, no. 6, pp. 397-399</t>
    <phoneticPr fontId="2"/>
  </si>
  <si>
    <t>https://doi.org/10.1109/LMWC.2015.2421336</t>
    <phoneticPr fontId="2"/>
  </si>
  <si>
    <t>2014 39th International Conference on Infrared, Millimeter, and Terahertz waves (IRMMW-THz), 2014, pp. 1-2</t>
    <phoneticPr fontId="2"/>
  </si>
  <si>
    <t>https://doi.org/10.1109/IRMMW-THz.2014.6956402</t>
    <phoneticPr fontId="2"/>
  </si>
  <si>
    <t>2014 IEEE MTT-S International Microwave Symposium (IMS2014), 2014, pp. 1-3</t>
    <phoneticPr fontId="2"/>
  </si>
  <si>
    <t>https://doi.org/10.1109/MWSYM.2014.6848588</t>
    <phoneticPr fontId="2"/>
  </si>
  <si>
    <t xml:space="preserve"> IEEE Microwave and Wireless Components Letters, vol. 21, no. 7, pp. 368-370, July 2011</t>
    <phoneticPr fontId="2"/>
  </si>
  <si>
    <t>https://doi.org/10.1109/LMWC.2011.2143701</t>
    <phoneticPr fontId="2"/>
  </si>
  <si>
    <t>2019 IEEE MTT-S International Microwave Symposium (IMS), 2019, pp. 508-511</t>
    <phoneticPr fontId="2"/>
  </si>
  <si>
    <t>https://doi.org/10.1109/MWSYM.2019.8701101</t>
    <phoneticPr fontId="2"/>
  </si>
  <si>
    <t>X. B. Mei </t>
  </si>
  <si>
    <t>A W-band InGaAs/InAlAs/InP HEMT Low-Noise Amplifier MMIC with 2.5dB noise figure and 19.4 dB gain at 94GHz</t>
    <phoneticPr fontId="2"/>
  </si>
  <si>
    <t>2008 20th International Conference on Indium Phosphide and Related Materials, 2008, pp. 1-3</t>
    <phoneticPr fontId="2"/>
  </si>
  <si>
    <t>https://doi.org/10.1109/ICIPRM.2008.4702933</t>
    <phoneticPr fontId="2"/>
  </si>
  <si>
    <t>InP-HEMT MMICs for passive millimeter-wave imaging sensors</t>
    <phoneticPr fontId="2"/>
  </si>
  <si>
    <t>M. Sato</t>
    <phoneticPr fontId="2"/>
  </si>
  <si>
    <t>2008 20th International Conference on Indium Phosphide and Related Materials, 2008, pp. 1-4</t>
    <phoneticPr fontId="2"/>
  </si>
  <si>
    <t>https://doi.org/10.1109/ICIPRM.2008.4703060</t>
    <phoneticPr fontId="2"/>
  </si>
  <si>
    <t>2009 IEEE MTT-S International Microwave Symposium Digest, 2009, pp. 553-556</t>
    <phoneticPr fontId="2"/>
  </si>
  <si>
    <t>Y. Nakasha</t>
    <phoneticPr fontId="2"/>
  </si>
  <si>
    <t>https://doi.org/10.1109/MWSYM.2009.5165756</t>
    <phoneticPr fontId="2"/>
  </si>
  <si>
    <t>68–110-GHz-Band Low-Noise Amplifier Using Current Reuse Topology</t>
    <phoneticPr fontId="2"/>
  </si>
  <si>
    <t xml:space="preserve"> IEEE Transactions on Microwave Theory and Techniques, vol. 58, no. 7, pp. 1910-1916, July 2010</t>
    <phoneticPr fontId="2"/>
  </si>
  <si>
    <t>https://doi.org/10.1109/TMTT.2010.2050374</t>
    <phoneticPr fontId="2"/>
  </si>
  <si>
    <t>A 20 Gbit/s, 280 GHz Wireless Transmission in InPHEMT based Receiver Module Using Flip-Chip Assembly</t>
    <phoneticPr fontId="2"/>
  </si>
  <si>
    <t xml:space="preserve"> 2015 European Microwave Conference (EuMC), 2015, pp. 562-565</t>
    <phoneticPr fontId="2"/>
  </si>
  <si>
    <t>Y. Kawano</t>
    <phoneticPr fontId="2"/>
  </si>
  <si>
    <t>https://doi.org/10.1109/EuMC.2015.7345825</t>
    <phoneticPr fontId="2"/>
  </si>
  <si>
    <t>Low Power Consumption Millimeter-Wave Amplifiers using InP HEMT Technology</t>
    <phoneticPr fontId="2"/>
  </si>
  <si>
    <t>L. Liu</t>
  </si>
  <si>
    <t>2011 IEEE MTT-S International Microwave Workshop Series on Millimeter Wave Integration Technologies, 2011, pp. 9-12</t>
    <phoneticPr fontId="2"/>
  </si>
  <si>
    <t>https://doi.org/10.1109/IMWS3.2011.6061898</t>
    <phoneticPr fontId="2"/>
  </si>
  <si>
    <t>N. Estella</t>
  </si>
  <si>
    <t>2016 IEEE Compound Semiconductor Integrated Circuit Symposium (CSICS), 2016, pp. 1-3</t>
    <phoneticPr fontId="2"/>
  </si>
  <si>
    <t>https://doi.org/10.1109/CSICS.2016.7751007</t>
    <phoneticPr fontId="2"/>
  </si>
  <si>
    <t>D. S. Farkas</t>
  </si>
  <si>
    <t>2014 Asia-Pacific Microwave Conference, 2014, pp. 229-231</t>
  </si>
  <si>
    <t>n/a</t>
    <phoneticPr fontId="2"/>
  </si>
  <si>
    <t>180 GHz HBT MMIC Amplifier with 80 GHz Bandwidth and Low Noise Figure in 250 nm InP</t>
    <phoneticPr fontId="2"/>
  </si>
  <si>
    <t>2019 European Microwave Conference in Central Europe (EuMCE), 2019, pp. 99-102.</t>
    <phoneticPr fontId="2"/>
  </si>
  <si>
    <t>200 GHz Low Noise Amplifiers in 250 nm InP HBT Technology</t>
    <phoneticPr fontId="2"/>
  </si>
  <si>
    <t>2021 16th European Microwave Integrated Circuits Conference (EuMIC), 2022, pp. 129-132</t>
    <phoneticPr fontId="2"/>
  </si>
  <si>
    <t>https://doi.org/10.23919/EuMIC50153.2022.9784010</t>
    <phoneticPr fontId="2"/>
  </si>
  <si>
    <t>https://doi.org/10.1109/LMWC.2022.3189607</t>
    <phoneticPr fontId="2"/>
  </si>
  <si>
    <t>IEEE Microwave and Wireless Components Letters, 2022 (Early Access)</t>
    <phoneticPr fontId="2"/>
  </si>
  <si>
    <t>Highly Linear D-Band Low-Noise Amplifier with 8.5dB Noise Figure in InP-DHBT Technology</t>
    <phoneticPr fontId="2"/>
  </si>
  <si>
    <t>2021 16th European Microwave Integrated Circuits Conference (EuMIC), 2022, pp. 140-143</t>
    <phoneticPr fontId="2"/>
  </si>
  <si>
    <t>https://doi.org/10.23919/EuMIC50153.2022.9783820</t>
    <phoneticPr fontId="2"/>
  </si>
  <si>
    <t>Non-galvanic Generic Packaging Solution Demonstrated in a Fully-Integrated D-Band Receiver</t>
    <phoneticPr fontId="2"/>
  </si>
  <si>
    <t>BCICTS,  IEEE Transactions on Terahertz Science and Technology, vol. 10, no. 3, pp. 321-330, May 2020</t>
    <phoneticPr fontId="2"/>
  </si>
  <si>
    <t>https://doi.org/10.1109/TTHZ.2020.2972362</t>
    <phoneticPr fontId="2"/>
  </si>
  <si>
    <t>Performance Analysis of a Low-Noise, Highly Linear Distributed Amplifier in 500-nm InP/InGaAs DHBT Technology</t>
    <phoneticPr fontId="2"/>
  </si>
  <si>
    <t>IEEE Transactions on Microwave Theory and Techniques, vol. 67, no. 12, pp. 5139-5147</t>
    <phoneticPr fontId="2"/>
  </si>
  <si>
    <t>https://doi.org/10.1109/TMTT.2019.2947664</t>
    <phoneticPr fontId="2"/>
  </si>
  <si>
    <t>State-of-the-Art THz Integrated Circuits in InP HBT Technologies</t>
    <phoneticPr fontId="2"/>
  </si>
  <si>
    <t>2017 IEEE International Symposium on Radio-Frequency Integration Technology (RFIT), 2017, pp. 25-27</t>
    <phoneticPr fontId="2"/>
  </si>
  <si>
    <t>https://doi.org/10.1109/RFIT.2017.8048278</t>
    <phoneticPr fontId="2"/>
  </si>
  <si>
    <t>300 GHz Integrated Heterodyne Receiver and Transmitter With On-Chip Fundamental Local Oscillator and Mixers</t>
    <phoneticPr fontId="2"/>
  </si>
  <si>
    <t>IEEE Transactions on Terahertz Science and Technology, vol. 5, no. 1, pp. 92-101, Jan. 2015</t>
    <phoneticPr fontId="2"/>
  </si>
  <si>
    <t>https://doi.org/10.1109/TTHZ.2014.2364454</t>
    <phoneticPr fontId="2"/>
  </si>
  <si>
    <t>Sooyeon Kim</t>
    <phoneticPr fontId="2"/>
  </si>
  <si>
    <t>2010 IEEE MTT-S International Microwave Symposium, 2010, pp. 1-1</t>
    <phoneticPr fontId="2"/>
  </si>
  <si>
    <t>https://doi.org/10.1109/MWSYM.2010.5518124</t>
    <phoneticPr fontId="2"/>
  </si>
  <si>
    <t>IEEE Transactions on Terahertz Science and Technology, vol. 4, no. 1, pp. 56-64, Jan. 2014</t>
    <phoneticPr fontId="2"/>
  </si>
  <si>
    <t>https://doi.org/10.1109/TTHZ.2013.2275900</t>
    <phoneticPr fontId="2"/>
  </si>
  <si>
    <t xml:space="preserve"> IEEE Transactions on Microwave Theory and Techniques, vol. 63, no. 2, pp. 433-440, Feb. 2015</t>
    <phoneticPr fontId="2"/>
  </si>
  <si>
    <t>https://doi.org/10.1109/TMTT.2014.2384493</t>
    <phoneticPr fontId="2"/>
  </si>
  <si>
    <t>IEEE Transactions on Microwave Theory and Techniques, vol. 63, no. 4, pp. 1334-1341, April 2015</t>
    <phoneticPr fontId="2"/>
  </si>
  <si>
    <t>https://doi.org/10.1109/TMTT.2015.2405916</t>
    <phoneticPr fontId="2"/>
  </si>
  <si>
    <t>IEEE Microwave and Wireless Components Letters, vol. 22, no. 10, pp. 536-538, Oct. 2012</t>
    <phoneticPr fontId="2"/>
  </si>
  <si>
    <t>https://doi.org/10.1109/LMWC.2012.2214767</t>
    <phoneticPr fontId="2"/>
  </si>
  <si>
    <t>IEEE Journal of Solid-State Circuits, vol. 52, no. 9, pp. 2267-2276, Sept. 2017</t>
    <phoneticPr fontId="2"/>
  </si>
  <si>
    <t>https://doi.org/10.1109/JSSC.2017.2713528</t>
    <phoneticPr fontId="2"/>
  </si>
  <si>
    <t>https://doi.org/10.1109/CSICS.2016.7751042</t>
    <phoneticPr fontId="2"/>
  </si>
  <si>
    <t>2017 IEEE Compound Semiconductor Integrated Circuit Symposium (CSICS), 2017, pp. 1-4</t>
    <phoneticPr fontId="2"/>
  </si>
  <si>
    <t>https://doi.org/10.1109/CSICS.2017.8240463</t>
    <phoneticPr fontId="2"/>
  </si>
  <si>
    <t>Proceedings of the IEEE, vol. 105, no. 6, pp. 1051-1067, June 2017</t>
    <phoneticPr fontId="2"/>
  </si>
  <si>
    <t>https://doi.org/10.1109/JPROC.2017.2692178</t>
    <phoneticPr fontId="2"/>
  </si>
  <si>
    <t>Broadband 400-GHz InGaAs mHEMT Transmitter and Receiver S-MMICs</t>
    <phoneticPr fontId="2"/>
  </si>
  <si>
    <t>IEEE Transactions on Terahertz Science and Technology, vol. 11, no. 6, pp. 660-675, Nov. 2021</t>
    <phoneticPr fontId="2"/>
  </si>
  <si>
    <t>https://doi.org/10.1109/TTHZ.2021.3099064</t>
    <phoneticPr fontId="2"/>
  </si>
  <si>
    <t>Full H-Band LNA in 35 nm mHEMT Technology with Constant Current Bias Control</t>
    <phoneticPr fontId="2"/>
  </si>
  <si>
    <t>W-Band LNA MMICs Based on a Noise-Optimized 50-nm Gate-Length Metamorphic HEMT Technology</t>
    <phoneticPr fontId="2"/>
  </si>
  <si>
    <t>A 183 GHz Metamorphic HEMT Low-Noise Amplifier With 3.5 dB Noise Figure</t>
    <phoneticPr fontId="2"/>
  </si>
  <si>
    <t>2020 15th European Microwave Integrated Circuits Conference (EuMIC), 2021, pp. 9-12.</t>
    <phoneticPr fontId="2"/>
  </si>
  <si>
    <t>2019 IEEE MTT-S International Microwave Symposium (IMS), 2019, pp. 168-171</t>
    <phoneticPr fontId="2"/>
  </si>
  <si>
    <t>https://doi.org/10.1109/MWSYM.2019.8700792</t>
    <phoneticPr fontId="2"/>
  </si>
  <si>
    <t>2017 IEEE MTT-S International Microwave Symposium (IMS), 2017, pp. 760-763</t>
    <phoneticPr fontId="2"/>
  </si>
  <si>
    <t>https://doi.org/10.1109/MWSYM.2017.8058687</t>
    <phoneticPr fontId="2"/>
  </si>
  <si>
    <t>2017 IEEE MTT-S International Microwave Symposium (IMS), 2017, pp. 752-755</t>
    <phoneticPr fontId="2"/>
  </si>
  <si>
    <t>https://doi.org/10.1109/MWSYM.2017.8058685</t>
    <phoneticPr fontId="2"/>
  </si>
  <si>
    <t>2017 IEEE MTT-S International Microwave Symposium (IMS), 2017, pp. 756-759</t>
    <phoneticPr fontId="2"/>
  </si>
  <si>
    <t>https://doi.org/10.1109/MWSYM.2017.8058686</t>
    <phoneticPr fontId="2"/>
  </si>
  <si>
    <t>2016 Global Symposium on Millimeter Waves (GSMM) &amp; ESA Workshop on Millimetre-Wave Technology and Applications, 2016, pp. 1-4</t>
    <phoneticPr fontId="2"/>
  </si>
  <si>
    <t>https://doi.org/10.1109/GSMM.2016.7500293</t>
    <phoneticPr fontId="2"/>
  </si>
  <si>
    <t>IEEE Microwave and Wireless Components Letters, vol. 25, no. 9, pp. 618-620, Sept. 2015</t>
    <phoneticPr fontId="2"/>
  </si>
  <si>
    <t>https://doi.org/10.1109/LMWC.2015.2451355</t>
    <phoneticPr fontId="2"/>
  </si>
  <si>
    <t>2014 Asia-Pacific Microwave Conference, 2014, pp. 151-153.</t>
    <phoneticPr fontId="2"/>
  </si>
  <si>
    <t>2014 9th European Microwave Integrated Circuit Conference, 2014, pp. 84-87</t>
    <phoneticPr fontId="2"/>
  </si>
  <si>
    <t>https://doi.org/10.1109/EuMIC.2014.6997797</t>
    <phoneticPr fontId="2"/>
  </si>
  <si>
    <t>https://doi.org/10.1109/MWSYM.2014.6848456</t>
    <phoneticPr fontId="2"/>
  </si>
  <si>
    <t>2013 IEEE MTT-S International Microwave Symposium Digest (MTT), 2013, pp. 1-4</t>
    <phoneticPr fontId="2"/>
  </si>
  <si>
    <t>https://doi.org/10.1109/MWSYM.2013.6697362</t>
    <phoneticPr fontId="2"/>
  </si>
  <si>
    <t>2013 European Microwave Integrated Circuit Conference, 2013, pp. 220-223.</t>
    <phoneticPr fontId="2"/>
  </si>
  <si>
    <t>2013 International Conference on Indium Phosphide and Related Materials (IPRM), 2013, pp. 1-2</t>
    <phoneticPr fontId="2"/>
  </si>
  <si>
    <t>https://doi.org/10.1109/ICIPRM.2013.6562647</t>
    <phoneticPr fontId="2"/>
  </si>
  <si>
    <t>IEEE Microwave and Wireless Components Letters, vol. 23, no. 9, pp. 486-488, Sept. 2013</t>
    <phoneticPr fontId="2"/>
  </si>
  <si>
    <t>https://doi.org/10.1109/LMWC.2013.2272610</t>
    <phoneticPr fontId="2"/>
  </si>
  <si>
    <t>2012 7th European Microwave Integrated Circuit Conference, 2012, pp. 187-190.</t>
    <phoneticPr fontId="2"/>
  </si>
  <si>
    <t>IPRM 2011 - 23rd International Conference on Indium Phosphide and Related Materials, 2011, pp. 1-4.</t>
    <phoneticPr fontId="2"/>
  </si>
  <si>
    <t>2010 IEEE Compound Semiconductor Integrated Circuit Symposium (CSICS), 2010, pp. 1-4</t>
    <phoneticPr fontId="2"/>
  </si>
  <si>
    <t>https://doi.org/10.1109/CSICS.2010.5619608</t>
    <phoneticPr fontId="2"/>
  </si>
  <si>
    <t>2010 IEEE MTT-S International Microwave Symposium, 2010, pp. 53-56</t>
    <phoneticPr fontId="2"/>
  </si>
  <si>
    <t>https://doi.org/10.1109/MWSYM.2010.5518016</t>
    <phoneticPr fontId="2"/>
  </si>
  <si>
    <t>German Microwave Conference Digest of Papers, 2010, pp. 55-58.</t>
    <phoneticPr fontId="2"/>
  </si>
  <si>
    <t>The 5th European Microwave Integrated Circuits Conference, 2010, pp. 53-56.</t>
    <phoneticPr fontId="2"/>
  </si>
  <si>
    <t>2009 IEEE International Conference on Indium Phosphide &amp; Related Materials, 2009, pp. 188-191</t>
    <phoneticPr fontId="2"/>
  </si>
  <si>
    <t>https://doi.org/10.1109/ICIPRM.2009.5012475</t>
    <phoneticPr fontId="2"/>
  </si>
  <si>
    <t>IEEE Journal of Solid-State Circuits, vol. 43, no. 10, pp. 2194-2205, Oct. 2008</t>
    <phoneticPr fontId="2"/>
  </si>
  <si>
    <t>https://doi.org/10.1109/JSSC.2008.2002931</t>
    <phoneticPr fontId="2"/>
  </si>
  <si>
    <t>2008 IEEE Compound Semiconductor Integrated Circuits Symposium, 2008, pp. 1-4</t>
    <phoneticPr fontId="2"/>
  </si>
  <si>
    <t>https://doi.org/10.1109/CSICS.2008.12</t>
    <phoneticPr fontId="2"/>
  </si>
  <si>
    <t>2006 European Microwave Integrated Circuits Conference, 2006, pp. 137-140</t>
    <phoneticPr fontId="2"/>
  </si>
  <si>
    <t>https://doi.org/10.1109/EMICC.2006.282770</t>
    <phoneticPr fontId="2"/>
  </si>
  <si>
    <t>https://doi.org/10.1109/MWSYM.2013.6697544</t>
    <phoneticPr fontId="2"/>
  </si>
  <si>
    <t>2014 IEEE MTT-S International Microwave Symposium (IMS2014), 2014, pp. 1-4</t>
    <phoneticPr fontId="2"/>
  </si>
  <si>
    <t>https://doi.org/10.1109/MWSYM.2014.6848288</t>
    <phoneticPr fontId="2"/>
  </si>
  <si>
    <t>2013 IEEE Compound Semiconductor Integrated Circuit Symposium (CSICS), 2013, pp. 1-4</t>
    <phoneticPr fontId="2"/>
  </si>
  <si>
    <t>https://doi.org/10.1109/CSICS.2013.6659237</t>
    <phoneticPr fontId="2"/>
  </si>
  <si>
    <t>2013 European Microwave Integrated Circuit Conference, 2013, pp. 129-132.</t>
    <phoneticPr fontId="2"/>
  </si>
  <si>
    <t>2011 IEEE MTT-S International Microwave Workshop Series on Millimeter Wave Integration Technologies, 2011, pp. 57-60</t>
    <phoneticPr fontId="2"/>
  </si>
  <si>
    <t>https://doi.org/10.1109/IMWS3.2011.6061886</t>
    <phoneticPr fontId="2"/>
  </si>
  <si>
    <t>2012 International Symposium on Signals, Systems, and Electronics (ISSSE), 2012, pp. 1-4</t>
    <phoneticPr fontId="2"/>
  </si>
  <si>
    <t>https://doi.org/10.1109/ISSSE.2012.6374348</t>
    <phoneticPr fontId="2"/>
  </si>
  <si>
    <t>W/F-band</t>
    <phoneticPr fontId="2"/>
  </si>
  <si>
    <t xml:space="preserve">CS. The LNPA MMIC contains a three-stage low-noise-optimized input stage and a balanced two-stage power-optimized output stage. </t>
    <phoneticPr fontId="2"/>
  </si>
  <si>
    <t>b04_</t>
    <phoneticPr fontId="2"/>
  </si>
  <si>
    <t>2022 IEEE/MTT-S International Microwave Symposium - IMS 2022, 2022, pp. 603-606</t>
    <phoneticPr fontId="2"/>
  </si>
  <si>
    <t>A W/F-Band Low-Noise Power Amplifier GaN MMIC with 3.5–5.5-dB Noise Figure and 22.8–24.3-dBm Pout</t>
    <phoneticPr fontId="2"/>
  </si>
  <si>
    <t>https://doi.org/10.1109/IMS37962.2022.9865528</t>
    <phoneticPr fontId="2"/>
  </si>
  <si>
    <t>Finger</t>
    <phoneticPr fontId="2"/>
  </si>
  <si>
    <t>Way</t>
    <phoneticPr fontId="2"/>
  </si>
  <si>
    <t>Application</t>
    <phoneticPr fontId="2"/>
  </si>
  <si>
    <t>CPW/MSL</t>
    <phoneticPr fontId="2"/>
  </si>
  <si>
    <t>CW/Pulse</t>
    <phoneticPr fontId="2"/>
  </si>
  <si>
    <t>Wgu(um)</t>
    <phoneticPr fontId="2"/>
  </si>
  <si>
    <t>Leu(um)</t>
    <phoneticPr fontId="2"/>
  </si>
  <si>
    <t>We(um)</t>
    <phoneticPr fontId="2"/>
  </si>
  <si>
    <t>Le(um)</t>
    <phoneticPr fontId="2"/>
  </si>
  <si>
    <t>3stage, CE</t>
    <phoneticPr fontId="2"/>
  </si>
  <si>
    <t>wireless communication</t>
    <phoneticPr fontId="2"/>
  </si>
  <si>
    <t>very high data rate wireless communications</t>
    <phoneticPr fontId="2"/>
  </si>
  <si>
    <t>4stage, CE</t>
    <phoneticPr fontId="2"/>
  </si>
  <si>
    <t>2stage, CB</t>
    <phoneticPr fontId="2"/>
  </si>
  <si>
    <t>high-speed communication and imaging systems</t>
    <phoneticPr fontId="2"/>
  </si>
  <si>
    <t>all communication systems and essential in many measurement environments</t>
    <phoneticPr fontId="2"/>
  </si>
  <si>
    <t>security/medical imaging system, radar, chemical/bio sensors, and broadband communications</t>
    <phoneticPr fontId="2"/>
  </si>
  <si>
    <t>high speed wireless communications and high-resolution radar/imaging</t>
    <phoneticPr fontId="2"/>
  </si>
  <si>
    <t>communications, radar, and electronic warfare</t>
    <phoneticPr fontId="2"/>
  </si>
  <si>
    <t>security and medical imaging, The molecular spectroscopy and space remote sensing, The fingerprint of chemical materials, high-speed wireless communication, short-range wireless services such as 3D video streaming, ultra-high-speed WPAN and WLAN</t>
    <phoneticPr fontId="2"/>
  </si>
  <si>
    <t>CB, 300 GHz integrated heterodyne receiver and transmitter</t>
    <phoneticPr fontId="2"/>
  </si>
  <si>
    <t>high data-rate wireless communication systems and high-resolution imaging sensors</t>
    <phoneticPr fontId="2"/>
  </si>
  <si>
    <t>optical communication systems and wide band pulse systems</t>
    <phoneticPr fontId="2"/>
  </si>
  <si>
    <t>active THz radar imaging systems for personnel screening</t>
    <phoneticPr fontId="2"/>
  </si>
  <si>
    <t>imaging, radar, spectroscopy, and communications</t>
    <phoneticPr fontId="2"/>
  </si>
  <si>
    <t>measurement equipment or wireless communication</t>
    <phoneticPr fontId="2"/>
  </si>
  <si>
    <t>sensing or imaging</t>
    <phoneticPr fontId="2"/>
  </si>
  <si>
    <t>communication and imaging systems</t>
    <phoneticPr fontId="2"/>
  </si>
  <si>
    <t>high-speed data communication and wideband communication systems</t>
    <phoneticPr fontId="2"/>
  </si>
  <si>
    <t>Three-Band Cloud and Precipitation Radar (3-CPR), active electronically steerable arrays (AESA's) for cloud Doppler radar</t>
    <phoneticPr fontId="2"/>
  </si>
  <si>
    <t>high-speed communication, long-distance communication</t>
    <phoneticPr fontId="2"/>
  </si>
  <si>
    <t>broadband wireless communication systems, millimeter-wave imaging and 76-GHz automotive radars</t>
    <phoneticPr fontId="2"/>
  </si>
  <si>
    <t>CubeSat radiometric measurements</t>
    <phoneticPr fontId="2"/>
  </si>
  <si>
    <t>300 GHz wireless communication system, active and passive imaging, and broadband communications</t>
    <phoneticPr fontId="2"/>
  </si>
  <si>
    <t>10stage, CS</t>
    <phoneticPr fontId="2"/>
  </si>
  <si>
    <t>radioastronomy, atmospheric science and material properties, imaging, high resolution radars, and broadband communications</t>
    <phoneticPr fontId="2"/>
  </si>
  <si>
    <t>satellite-based atmo spheric sensing</t>
    <phoneticPr fontId="2"/>
  </si>
  <si>
    <t>high data rate communication systems, atmospheric sensing, planetary exploration, and new classes of imagers.</t>
    <phoneticPr fontId="2"/>
  </si>
  <si>
    <t>security imaging and target identification and extremely high data rate communications.</t>
    <phoneticPr fontId="2"/>
  </si>
  <si>
    <t>radiometry and atmospheric sensing. The Earth Observing System Microwave Limb Sounder (EOS MLS)</t>
    <phoneticPr fontId="2"/>
  </si>
  <si>
    <t>radio astronomy, imaging sensors, and multi-10 Gigabit data rates communications,</t>
    <phoneticPr fontId="2"/>
  </si>
  <si>
    <t>broadband communication systems using 60-GHz-band, 77-GHz-band automotive radars, and 94-GHz-band millimeter-wave imagers</t>
    <phoneticPr fontId="2"/>
  </si>
  <si>
    <t>a multistage CG amplifier</t>
    <phoneticPr fontId="2"/>
  </si>
  <si>
    <t>wireless systems operating at 10 Gb/s or above</t>
    <phoneticPr fontId="2"/>
  </si>
  <si>
    <t>passive millimeter wave (PMMW) image sensor</t>
    <phoneticPr fontId="2"/>
  </si>
  <si>
    <t>radar and imaging, radio astronomy and remote sensing, satellite communications (SATCOM), and high data rate point-to-point communications</t>
    <phoneticPr fontId="2"/>
  </si>
  <si>
    <t>Balanced</t>
    <phoneticPr fontId="2"/>
  </si>
  <si>
    <t>Single-ended</t>
    <phoneticPr fontId="2"/>
  </si>
  <si>
    <t>millimeter-wave imaging, radar, communications and adio astronomy</t>
    <phoneticPr fontId="2"/>
  </si>
  <si>
    <t>phased-array radars</t>
    <phoneticPr fontId="2"/>
  </si>
  <si>
    <t>Eバンド (60〜90GHz)</t>
  </si>
  <si>
    <t>Wバンド (75〜110GHz)</t>
  </si>
  <si>
    <t>Fバンド (90〜140GHz)</t>
  </si>
  <si>
    <t>Dバンド (110〜170GHz)</t>
  </si>
  <si>
    <t>Gバンド (140〜220GHz)</t>
  </si>
  <si>
    <t>Hバンド(220-325GHz）</t>
  </si>
  <si>
    <t>E/W/D-band</t>
    <phoneticPr fontId="2"/>
  </si>
  <si>
    <t>the inspection of composite materials, radar imaging, and data transfer over reasonable distances</t>
    <phoneticPr fontId="2"/>
  </si>
  <si>
    <t>communication, sensing or radar system</t>
    <phoneticPr fontId="2"/>
  </si>
  <si>
    <t>radio astronomy, wireless communication, passive imaging and radiometric systems, or earth observation</t>
    <phoneticPr fontId="2"/>
  </si>
  <si>
    <t>GCPW</t>
    <phoneticPr fontId="2"/>
  </si>
  <si>
    <t>ultra-high data rate wireless communication links as well as active and passive high resolution imaging systems with manifold applications in safety and security</t>
    <phoneticPr fontId="2"/>
  </si>
  <si>
    <t>wireless communication, radar, imaging, or radiometric systems</t>
    <phoneticPr fontId="2"/>
  </si>
  <si>
    <t>radar, communication, sensing or imaging systems</t>
    <phoneticPr fontId="2"/>
  </si>
  <si>
    <t>183 GHz frequency range is used in radiometers for humidity soundings, numerical weather prediction</t>
    <phoneticPr fontId="2"/>
  </si>
  <si>
    <t>ice cloud imagers, ultra-wideband communication links and high-resolution radar-imaging systems</t>
    <phoneticPr fontId="2"/>
  </si>
  <si>
    <t>airborne millimeter-wave imaging radiometer or on geostationary satellite where the measurements of clouds can provide insight in climate behavior</t>
    <phoneticPr fontId="2"/>
  </si>
  <si>
    <t>safety and security, avionics as landing aids or runway control in reconnaissance and surveillance, medical
imaging,
quality
control, high data rate wireless communication, and astronomy</t>
    <phoneticPr fontId="2"/>
  </si>
  <si>
    <t>MSL</t>
    <phoneticPr fontId="2"/>
  </si>
  <si>
    <t>high-resolution imaging systems with manifold applications in safety and security, avionics as landing aids or runway control, in reconnaissance and surveillance, medical imaging, quality control, high data rate wireless communication, and astronomy</t>
    <phoneticPr fontId="2"/>
  </si>
  <si>
    <t>radar and imaging systems</t>
    <phoneticPr fontId="2"/>
  </si>
  <si>
    <t>high resolution passive and active imaging applications such as direct-detection radiometers, aircraft landing and taxiing, wire detection, through-wall imaging or the next generation automotive collision-avoidance radar</t>
    <phoneticPr fontId="2"/>
  </si>
  <si>
    <t>radar, radiometry, spectroscopy and communication</t>
    <phoneticPr fontId="2"/>
  </si>
  <si>
    <t>communication, radar, imaging or atmospheric and astronomic sensing systems</t>
    <phoneticPr fontId="2"/>
  </si>
  <si>
    <t>high-resolution active and passive imaging systems, high data rate wireless communication links, explosive detection spectroscopy or measurement instrumentation</t>
    <phoneticPr fontId="2"/>
  </si>
  <si>
    <t>millimeter-wave imaging systems</t>
    <phoneticPr fontId="2"/>
  </si>
  <si>
    <t>high data rates in communication and high geometrical resolution in sensing and imaging applications</t>
    <phoneticPr fontId="2"/>
  </si>
  <si>
    <t>radio astronomy, wireless communication, radar or radiometer systems</t>
    <phoneticPr fontId="2"/>
  </si>
  <si>
    <t>safety and security, avionics, medical imaging, quality control and astronomy</t>
    <phoneticPr fontId="2"/>
  </si>
  <si>
    <t>passive and active imaging applications such as direct-detection radiometers for remote atmospheric sensing or planetary exploration, aircraft landing and taxiing, helicopter wire detection, through-wall imaging, detection of concealed weapons or plastic explosives, or the next generation synthetic aperture radar (SAR) for high-resolution reconnaissance and surveillance.</t>
    <phoneticPr fontId="2"/>
  </si>
  <si>
    <t>safety and security (detection of concealed weapons or plastic explosives), avionics (landing aid, runway control, foreign object detection (FOD), wire detection), reconnaissance, automation and quality control, medical imaging and astronomy</t>
    <phoneticPr fontId="2"/>
  </si>
  <si>
    <t>radio astronomy and remote sensing, satellite crosslinks and ultra-high capacity (1 Gbit/sec and higher) point-to-point radio links, commercial wireless backhaul and military communications</t>
    <phoneticPr fontId="2"/>
  </si>
  <si>
    <t>radio astronomy and remote sensing, satellite crosslinks and ultra-high capacity (2 Gbit/sec and higher) point-to-point radio links, commercial wireless backhaul and military communications</t>
  </si>
  <si>
    <t>ATMOSPHERIC sensing</t>
    <phoneticPr fontId="2"/>
  </si>
  <si>
    <t>LNA2</t>
    <phoneticPr fontId="2"/>
  </si>
  <si>
    <t>passive millimeter-wave imaging systems</t>
    <phoneticPr fontId="2"/>
  </si>
  <si>
    <t>radiometry, communications and instrumentation</t>
    <phoneticPr fontId="2"/>
  </si>
  <si>
    <t>meteorological and climate observation missions</t>
    <phoneticPr fontId="2"/>
  </si>
  <si>
    <t>650GHz</t>
    <phoneticPr fontId="2"/>
  </si>
  <si>
    <t>400GHz</t>
    <phoneticPr fontId="2"/>
  </si>
  <si>
    <t>600GHz</t>
    <phoneticPr fontId="2"/>
  </si>
  <si>
    <t>500GHz</t>
    <phoneticPr fontId="2"/>
  </si>
  <si>
    <t>HRL</t>
  </si>
  <si>
    <t>Discrete</t>
    <phoneticPr fontId="2"/>
  </si>
  <si>
    <t>T4A</t>
    <phoneticPr fontId="2"/>
  </si>
  <si>
    <t xml:space="preserve">2016 IEEE Compound Semiconductor Integrated Circuit Symposium (CSICS), 2016, pp. 1-4, </t>
    <phoneticPr fontId="2"/>
  </si>
  <si>
    <t>Ka-Band LNA MMIC's Realized in Fmax &gt; 580 GHz GaN HEMT Technology</t>
    <phoneticPr fontId="2"/>
  </si>
  <si>
    <t>M. Micovic</t>
    <phoneticPr fontId="2"/>
  </si>
  <si>
    <t>https://doi.org/10.1109/CSICS.2016.7751051</t>
    <phoneticPr fontId="2"/>
  </si>
  <si>
    <t>A W-Band Transceiver Chip for Future 5G Communications in InP-DHBT Technology</t>
    <phoneticPr fontId="2"/>
  </si>
  <si>
    <t>Tranceiver</t>
    <phoneticPr fontId="2"/>
  </si>
  <si>
    <t>5G wireless communications</t>
    <phoneticPr fontId="2"/>
  </si>
  <si>
    <t>2020 15th European Microwave Integrated Circuits Conference (EuMIC), 2021, pp. 193-196.</t>
    <phoneticPr fontId="2"/>
  </si>
  <si>
    <t>F</t>
    <phoneticPr fontId="2"/>
  </si>
  <si>
    <t>レビュー論文</t>
    <rPh sb="4" eb="6">
      <t>ロンブン</t>
    </rPh>
    <phoneticPr fontId="2"/>
  </si>
  <si>
    <t>No.</t>
    <phoneticPr fontId="2"/>
  </si>
  <si>
    <t>更新内容</t>
    <rPh sb="0" eb="2">
      <t>コウシン</t>
    </rPh>
    <rPh sb="2" eb="4">
      <t>ナイヨウ</t>
    </rPh>
    <phoneticPr fontId="2"/>
  </si>
  <si>
    <t>更新日</t>
    <rPh sb="0" eb="3">
      <t>コウシンビ</t>
    </rPh>
    <phoneticPr fontId="2"/>
  </si>
  <si>
    <t>v1</t>
    <phoneticPr fontId="2"/>
  </si>
  <si>
    <t>バージョン</t>
    <phoneticPr fontId="2"/>
  </si>
  <si>
    <t>6GWG向けに作成</t>
    <rPh sb="4" eb="5">
      <t>ム</t>
    </rPh>
    <rPh sb="7" eb="9">
      <t>サクセイ</t>
    </rPh>
    <phoneticPr fontId="2"/>
  </si>
  <si>
    <t>radar and communication</t>
    <phoneticPr fontId="2"/>
  </si>
  <si>
    <t>multi-gigabit per second (Gb/s) links, production quality inspection and imaging systems</t>
    <phoneticPr fontId="2"/>
  </si>
  <si>
    <t>Ref.</t>
  </si>
  <si>
    <t>Center frequency (GHz)</t>
    <phoneticPr fontId="2"/>
  </si>
  <si>
    <t>3dB Bandwidth (GHz)</t>
    <phoneticPr fontId="2"/>
  </si>
  <si>
    <r>
      <t>Gain S</t>
    </r>
    <r>
      <rPr>
        <vertAlign val="subscript"/>
        <sz val="11"/>
        <color theme="1"/>
        <rFont val="Arial"/>
        <family val="2"/>
      </rPr>
      <t>21</t>
    </r>
    <r>
      <rPr>
        <sz val="11"/>
        <color theme="1"/>
        <rFont val="Arial"/>
        <family val="2"/>
      </rPr>
      <t xml:space="preserve"> (dB)</t>
    </r>
    <phoneticPr fontId="2"/>
  </si>
  <si>
    <r>
      <t>P</t>
    </r>
    <r>
      <rPr>
        <vertAlign val="subscript"/>
        <sz val="11"/>
        <color theme="1"/>
        <rFont val="Arial"/>
        <family val="2"/>
      </rPr>
      <t>out, sat</t>
    </r>
    <r>
      <rPr>
        <sz val="11"/>
        <color theme="1"/>
        <rFont val="Arial"/>
        <family val="2"/>
      </rPr>
      <t xml:space="preserve"> (dBm)</t>
    </r>
    <phoneticPr fontId="2"/>
  </si>
  <si>
    <t>NF (dB)</t>
    <phoneticPr fontId="2"/>
  </si>
  <si>
    <r>
      <t>P</t>
    </r>
    <r>
      <rPr>
        <vertAlign val="subscript"/>
        <sz val="11"/>
        <color theme="1"/>
        <rFont val="Arial"/>
        <family val="2"/>
      </rPr>
      <t>DC</t>
    </r>
    <r>
      <rPr>
        <sz val="11"/>
        <color theme="1"/>
        <rFont val="Arial"/>
        <family val="2"/>
      </rPr>
      <t xml:space="preserve"> (W)</t>
    </r>
    <phoneticPr fontId="2"/>
  </si>
  <si>
    <t>PAE (%)</t>
    <phoneticPr fontId="2"/>
  </si>
  <si>
    <t>Chip area (mm2)</t>
  </si>
  <si>
    <t>Input/Output port</t>
    <phoneticPr fontId="2"/>
  </si>
  <si>
    <t>Technology/Country</t>
    <phoneticPr fontId="2"/>
  </si>
  <si>
    <t>Year</t>
  </si>
  <si>
    <t>Other properties</t>
  </si>
  <si>
    <r>
      <t>Gain S</t>
    </r>
    <r>
      <rPr>
        <vertAlign val="subscript"/>
        <sz val="11"/>
        <color theme="1"/>
        <rFont val="Arial"/>
        <family val="2"/>
      </rPr>
      <t>21</t>
    </r>
    <r>
      <rPr>
        <sz val="11"/>
        <color theme="1"/>
        <rFont val="Arial"/>
        <family val="2"/>
      </rPr>
      <t xml:space="preserve"> (dB) (Other countries)</t>
    </r>
    <phoneticPr fontId="2"/>
  </si>
  <si>
    <r>
      <t>Gain S</t>
    </r>
    <r>
      <rPr>
        <vertAlign val="subscript"/>
        <sz val="11"/>
        <color theme="1"/>
        <rFont val="Arial"/>
        <family val="2"/>
      </rPr>
      <t>21</t>
    </r>
    <r>
      <rPr>
        <sz val="11"/>
        <color theme="1"/>
        <rFont val="Arial"/>
        <family val="2"/>
      </rPr>
      <t xml:space="preserve"> (dB) (Developed in Japan)</t>
    </r>
    <phoneticPr fontId="2"/>
  </si>
  <si>
    <r>
      <t>P</t>
    </r>
    <r>
      <rPr>
        <vertAlign val="subscript"/>
        <sz val="11"/>
        <color theme="1"/>
        <rFont val="Arial"/>
        <family val="2"/>
      </rPr>
      <t>out, sat</t>
    </r>
    <r>
      <rPr>
        <sz val="11"/>
        <color theme="1"/>
        <rFont val="Arial"/>
        <family val="2"/>
      </rPr>
      <t xml:space="preserve"> (dBm) (Other countries)</t>
    </r>
    <phoneticPr fontId="2"/>
  </si>
  <si>
    <r>
      <t>P</t>
    </r>
    <r>
      <rPr>
        <vertAlign val="subscript"/>
        <sz val="11"/>
        <color theme="1"/>
        <rFont val="Arial"/>
        <family val="2"/>
      </rPr>
      <t>out, sat</t>
    </r>
    <r>
      <rPr>
        <sz val="11"/>
        <color theme="1"/>
        <rFont val="Arial"/>
        <family val="2"/>
      </rPr>
      <t xml:space="preserve"> (dBm) (Developed in Japan)</t>
    </r>
    <phoneticPr fontId="2"/>
  </si>
  <si>
    <t>Power density (mW/mm2)</t>
    <phoneticPr fontId="2"/>
  </si>
  <si>
    <t>*青色背景の右端3つは自動計算なので、値を入れる必要はありません。</t>
  </si>
  <si>
    <t>*データがない場合、セルには”=NA()”と入力してください。通常の文字列（例えばn/a）にしてしまうとグラフ表示において"0"の値で認識されてしまいます。</t>
    <phoneticPr fontId="2"/>
  </si>
  <si>
    <t>US</t>
  </si>
  <si>
    <t>Japan</t>
  </si>
  <si>
    <t>Switherland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</si>
</sst>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
    <numFmt numFmtId="178" formatCode="0.000"/>
    <numFmt numFmtId="179" formatCode="0_);[Red]\(0\)"/>
    <numFmt numFmtId="180" formatCode="0.000_);[Red]\(0.000\)"/>
    <numFmt numFmtId="181" formatCode="0.0_);[Red]\(0.0\)"/>
  </numFmts>
  <fonts count="1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0"/>
      <color rgb="FFFF0000"/>
      <name val="Arial"/>
      <family val="2"/>
    </font>
    <font>
      <sz val="10"/>
      <name val="Arial"/>
      <family val="2"/>
    </font>
    <font>
      <u/>
      <sz val="11"/>
      <name val="游ゴシック"/>
      <family val="3"/>
      <charset val="128"/>
      <scheme val="minor"/>
    </font>
    <font>
      <sz val="11"/>
      <color theme="1"/>
      <name val="Arial"/>
      <family val="2"/>
    </font>
    <font>
      <vertAlign val="subscript"/>
      <sz val="11"/>
      <color theme="1"/>
      <name val="Arial"/>
      <family val="2"/>
    </font>
    <font>
      <sz val="11"/>
      <color theme="1"/>
      <name val="游ゴシック"/>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2">
    <xf numFmtId="0" fontId="0" fillId="0" borderId="0" xfId="0">
      <alignment vertical="center"/>
    </xf>
    <xf numFmtId="0" fontId="0" fillId="2" borderId="1" xfId="0" applyFill="1" applyBorder="1">
      <alignment vertical="center"/>
    </xf>
    <xf numFmtId="0" fontId="3" fillId="2" borderId="1" xfId="0" applyFont="1" applyFill="1" applyBorder="1">
      <alignment vertical="center"/>
    </xf>
    <xf numFmtId="0" fontId="4" fillId="2" borderId="1" xfId="0" applyFont="1" applyFill="1" applyBorder="1">
      <alignment vertical="center"/>
    </xf>
    <xf numFmtId="0" fontId="0" fillId="3" borderId="1" xfId="0" applyFill="1" applyBorder="1">
      <alignment vertical="center"/>
    </xf>
    <xf numFmtId="0" fontId="4" fillId="3" borderId="1" xfId="0" applyFont="1" applyFill="1" applyBorder="1">
      <alignment vertical="center"/>
    </xf>
    <xf numFmtId="0" fontId="3" fillId="3" borderId="1" xfId="0" applyFont="1" applyFill="1" applyBorder="1">
      <alignment vertical="center"/>
    </xf>
    <xf numFmtId="0" fontId="0" fillId="4" borderId="1" xfId="0" applyFill="1" applyBorder="1">
      <alignment vertical="center"/>
    </xf>
    <xf numFmtId="0" fontId="4" fillId="4" borderId="1" xfId="0" applyFont="1" applyFill="1" applyBorder="1">
      <alignment vertical="center"/>
    </xf>
    <xf numFmtId="0" fontId="3" fillId="4" borderId="1" xfId="0" applyFont="1" applyFill="1" applyBorder="1">
      <alignment vertical="center"/>
    </xf>
    <xf numFmtId="0" fontId="0" fillId="0" borderId="1" xfId="0" applyFill="1" applyBorder="1">
      <alignment vertical="center"/>
    </xf>
    <xf numFmtId="0" fontId="4" fillId="0" borderId="1" xfId="0" applyFont="1" applyFill="1" applyBorder="1">
      <alignment vertical="center"/>
    </xf>
    <xf numFmtId="0" fontId="3" fillId="0" borderId="1" xfId="0" applyFont="1" applyFill="1" applyBorder="1">
      <alignment vertical="center"/>
    </xf>
    <xf numFmtId="0" fontId="0" fillId="0" borderId="0" xfId="0" applyFill="1">
      <alignment vertical="center"/>
    </xf>
    <xf numFmtId="0" fontId="0" fillId="5" borderId="1" xfId="0" applyFill="1" applyBorder="1">
      <alignment vertical="center"/>
    </xf>
    <xf numFmtId="0" fontId="4" fillId="5" borderId="1" xfId="0" applyFont="1" applyFill="1" applyBorder="1">
      <alignment vertical="center"/>
    </xf>
    <xf numFmtId="0" fontId="3" fillId="5" borderId="1" xfId="0" applyFont="1" applyFill="1" applyBorder="1">
      <alignment vertical="center"/>
    </xf>
    <xf numFmtId="0" fontId="0" fillId="6" borderId="1" xfId="0" applyFill="1" applyBorder="1">
      <alignment vertical="center"/>
    </xf>
    <xf numFmtId="0" fontId="4" fillId="0" borderId="0" xfId="0" applyFont="1" applyFill="1">
      <alignment vertical="center"/>
    </xf>
    <xf numFmtId="0" fontId="1" fillId="0" borderId="1" xfId="0" applyFont="1" applyFill="1" applyBorder="1">
      <alignment vertical="center"/>
    </xf>
    <xf numFmtId="0" fontId="3" fillId="0" borderId="0" xfId="0" applyFont="1" applyFill="1">
      <alignment vertical="center"/>
    </xf>
    <xf numFmtId="0" fontId="0" fillId="7" borderId="1" xfId="0" applyFill="1" applyBorder="1">
      <alignment vertical="center"/>
    </xf>
    <xf numFmtId="0" fontId="4" fillId="7" borderId="1" xfId="0" applyFont="1" applyFill="1" applyBorder="1">
      <alignment vertical="center"/>
    </xf>
    <xf numFmtId="0" fontId="3" fillId="7" borderId="1" xfId="0" applyFont="1" applyFill="1" applyBorder="1">
      <alignment vertical="center"/>
    </xf>
    <xf numFmtId="0" fontId="4" fillId="6" borderId="1" xfId="0" applyFont="1" applyFill="1" applyBorder="1">
      <alignment vertical="center"/>
    </xf>
    <xf numFmtId="0" fontId="3" fillId="6" borderId="1" xfId="0" applyFont="1" applyFill="1" applyBorder="1">
      <alignment vertical="center"/>
    </xf>
    <xf numFmtId="176" fontId="4" fillId="5" borderId="1" xfId="0" applyNumberFormat="1" applyFont="1" applyFill="1" applyBorder="1">
      <alignment vertical="center"/>
    </xf>
    <xf numFmtId="2" fontId="4" fillId="5" borderId="1" xfId="0" applyNumberFormat="1" applyFont="1" applyFill="1" applyBorder="1">
      <alignment vertical="center"/>
    </xf>
    <xf numFmtId="0" fontId="4" fillId="0" borderId="0" xfId="0" applyFont="1">
      <alignment vertical="center"/>
    </xf>
    <xf numFmtId="2" fontId="4" fillId="0" borderId="1" xfId="0" applyNumberFormat="1" applyFont="1" applyFill="1" applyBorder="1">
      <alignment vertical="center"/>
    </xf>
    <xf numFmtId="0" fontId="5" fillId="0" borderId="1" xfId="0" applyFont="1" applyFill="1" applyBorder="1">
      <alignment vertical="center"/>
    </xf>
    <xf numFmtId="0" fontId="5" fillId="0" borderId="0" xfId="0" applyFont="1" applyFill="1">
      <alignment vertical="center"/>
    </xf>
    <xf numFmtId="0" fontId="1" fillId="0" borderId="0" xfId="0" applyFont="1">
      <alignment vertical="center"/>
    </xf>
    <xf numFmtId="177" fontId="3" fillId="4" borderId="1" xfId="0" applyNumberFormat="1" applyFont="1" applyFill="1" applyBorder="1">
      <alignment vertical="center"/>
    </xf>
    <xf numFmtId="0" fontId="6" fillId="0" borderId="1" xfId="1" applyFill="1" applyBorder="1">
      <alignment vertical="center"/>
    </xf>
    <xf numFmtId="0" fontId="5" fillId="0" borderId="1" xfId="0" applyFont="1" applyFill="1" applyBorder="1" applyAlignment="1">
      <alignment vertical="center" wrapText="1"/>
    </xf>
    <xf numFmtId="0" fontId="4" fillId="9" borderId="1" xfId="0" applyFont="1" applyFill="1" applyBorder="1">
      <alignment vertical="center"/>
    </xf>
    <xf numFmtId="2" fontId="1" fillId="9" borderId="1" xfId="0" applyNumberFormat="1" applyFont="1" applyFill="1" applyBorder="1">
      <alignment vertical="center"/>
    </xf>
    <xf numFmtId="0" fontId="1" fillId="9" borderId="1" xfId="0" applyFont="1" applyFill="1" applyBorder="1">
      <alignment vertical="center"/>
    </xf>
    <xf numFmtId="0" fontId="4" fillId="9" borderId="0" xfId="0" applyFont="1" applyFill="1">
      <alignment vertical="center"/>
    </xf>
    <xf numFmtId="177" fontId="4" fillId="9" borderId="1" xfId="0" applyNumberFormat="1" applyFont="1" applyFill="1" applyBorder="1">
      <alignment vertical="center"/>
    </xf>
    <xf numFmtId="176" fontId="4" fillId="9" borderId="1" xfId="0" applyNumberFormat="1" applyFont="1" applyFill="1" applyBorder="1">
      <alignment vertical="center"/>
    </xf>
    <xf numFmtId="0" fontId="7" fillId="9" borderId="1" xfId="0" applyFont="1" applyFill="1" applyBorder="1">
      <alignment vertical="center"/>
    </xf>
    <xf numFmtId="0" fontId="6" fillId="9" borderId="1" xfId="1" applyFill="1" applyBorder="1">
      <alignment vertical="center"/>
    </xf>
    <xf numFmtId="0" fontId="3" fillId="9" borderId="1" xfId="0" applyFont="1" applyFill="1" applyBorder="1">
      <alignment vertical="center"/>
    </xf>
    <xf numFmtId="0" fontId="0" fillId="9" borderId="1" xfId="0" applyFill="1" applyBorder="1">
      <alignment vertical="center"/>
    </xf>
    <xf numFmtId="0" fontId="0" fillId="9" borderId="0" xfId="0" applyFill="1">
      <alignment vertical="center"/>
    </xf>
    <xf numFmtId="181" fontId="4" fillId="9" borderId="1" xfId="0" applyNumberFormat="1" applyFont="1" applyFill="1" applyBorder="1">
      <alignment vertical="center"/>
    </xf>
    <xf numFmtId="179" fontId="4" fillId="9" borderId="1" xfId="0" applyNumberFormat="1" applyFont="1" applyFill="1" applyBorder="1">
      <alignment vertical="center"/>
    </xf>
    <xf numFmtId="2" fontId="4" fillId="9" borderId="1" xfId="0" applyNumberFormat="1" applyFont="1" applyFill="1" applyBorder="1">
      <alignment vertical="center"/>
    </xf>
    <xf numFmtId="0" fontId="6" fillId="0" borderId="1" xfId="1" applyBorder="1">
      <alignment vertical="center"/>
    </xf>
    <xf numFmtId="0" fontId="3" fillId="0" borderId="1" xfId="0" applyFont="1" applyBorder="1">
      <alignment vertical="center"/>
    </xf>
    <xf numFmtId="2" fontId="3" fillId="5" borderId="1" xfId="0" applyNumberFormat="1" applyFont="1" applyFill="1" applyBorder="1">
      <alignment vertical="center"/>
    </xf>
    <xf numFmtId="0" fontId="3" fillId="3" borderId="1" xfId="0" applyFont="1" applyFill="1" applyBorder="1" applyAlignment="1">
      <alignment vertical="center"/>
    </xf>
    <xf numFmtId="177" fontId="3" fillId="3" borderId="1" xfId="0" applyNumberFormat="1" applyFont="1" applyFill="1" applyBorder="1" applyAlignment="1">
      <alignment vertical="center"/>
    </xf>
    <xf numFmtId="177" fontId="3" fillId="5" borderId="1" xfId="0" applyNumberFormat="1" applyFont="1" applyFill="1" applyBorder="1">
      <alignment vertical="center"/>
    </xf>
    <xf numFmtId="177" fontId="3" fillId="3" borderId="1" xfId="0" applyNumberFormat="1" applyFont="1" applyFill="1" applyBorder="1">
      <alignment vertical="center"/>
    </xf>
    <xf numFmtId="0" fontId="3" fillId="4" borderId="3" xfId="0" applyFont="1" applyFill="1" applyBorder="1">
      <alignment vertical="center"/>
    </xf>
    <xf numFmtId="0" fontId="3" fillId="4" borderId="0" xfId="0" applyFont="1" applyFill="1">
      <alignment vertical="center"/>
    </xf>
    <xf numFmtId="2" fontId="3" fillId="3" borderId="1" xfId="0" applyNumberFormat="1" applyFont="1" applyFill="1" applyBorder="1">
      <alignment vertical="center"/>
    </xf>
    <xf numFmtId="178" fontId="3" fillId="3" borderId="1" xfId="0" applyNumberFormat="1" applyFont="1" applyFill="1" applyBorder="1">
      <alignment vertical="center"/>
    </xf>
    <xf numFmtId="2" fontId="3" fillId="4" borderId="1" xfId="0" applyNumberFormat="1" applyFont="1" applyFill="1" applyBorder="1">
      <alignment vertical="center"/>
    </xf>
    <xf numFmtId="0" fontId="3" fillId="8" borderId="1" xfId="0" applyFont="1" applyFill="1" applyBorder="1">
      <alignment vertical="center"/>
    </xf>
    <xf numFmtId="0" fontId="3" fillId="0" borderId="1" xfId="0" applyFont="1" applyFill="1" applyBorder="1" applyAlignment="1">
      <alignment vertical="center" wrapText="1"/>
    </xf>
    <xf numFmtId="179" fontId="3" fillId="4" borderId="1" xfId="0" applyNumberFormat="1" applyFont="1" applyFill="1" applyBorder="1">
      <alignment vertical="center"/>
    </xf>
    <xf numFmtId="181" fontId="3" fillId="4" borderId="1" xfId="0" applyNumberFormat="1" applyFont="1" applyFill="1" applyBorder="1">
      <alignment vertical="center"/>
    </xf>
    <xf numFmtId="180" fontId="3" fillId="4" borderId="1" xfId="0" applyNumberFormat="1" applyFont="1" applyFill="1" applyBorder="1">
      <alignment vertical="center"/>
    </xf>
    <xf numFmtId="177" fontId="3" fillId="9" borderId="1" xfId="0" applyNumberFormat="1" applyFont="1" applyFill="1" applyBorder="1">
      <alignment vertical="center"/>
    </xf>
    <xf numFmtId="176" fontId="3" fillId="5" borderId="1" xfId="0" applyNumberFormat="1" applyFont="1" applyFill="1" applyBorder="1">
      <alignment vertical="center"/>
    </xf>
    <xf numFmtId="0" fontId="3" fillId="2" borderId="1" xfId="0" applyFont="1" applyFill="1" applyBorder="1" applyAlignment="1">
      <alignment vertical="center" wrapText="1"/>
    </xf>
    <xf numFmtId="0" fontId="3" fillId="4" borderId="1" xfId="0" applyFont="1" applyFill="1" applyBorder="1" applyAlignment="1">
      <alignment vertical="center" wrapText="1"/>
    </xf>
    <xf numFmtId="0" fontId="8" fillId="0" borderId="1" xfId="0" applyFont="1" applyBorder="1">
      <alignment vertical="center"/>
    </xf>
    <xf numFmtId="0" fontId="3" fillId="6" borderId="2" xfId="0" applyFont="1" applyFill="1" applyBorder="1">
      <alignment vertical="center"/>
    </xf>
    <xf numFmtId="0" fontId="3" fillId="5" borderId="2" xfId="0" applyFont="1" applyFill="1" applyBorder="1">
      <alignment vertical="center"/>
    </xf>
    <xf numFmtId="0" fontId="3" fillId="0" borderId="2" xfId="0" applyFont="1" applyBorder="1">
      <alignment vertical="center"/>
    </xf>
    <xf numFmtId="0" fontId="9" fillId="0" borderId="1" xfId="1" applyFont="1" applyFill="1" applyBorder="1">
      <alignment vertical="center"/>
    </xf>
    <xf numFmtId="177" fontId="3" fillId="8" borderId="1" xfId="0" applyNumberFormat="1" applyFont="1" applyFill="1" applyBorder="1">
      <alignment vertical="center"/>
    </xf>
    <xf numFmtId="0" fontId="6" fillId="8" borderId="1" xfId="1" applyFill="1" applyBorder="1">
      <alignment vertical="center"/>
    </xf>
    <xf numFmtId="0" fontId="3" fillId="9" borderId="0" xfId="0" applyFont="1" applyFill="1">
      <alignment vertical="center"/>
    </xf>
    <xf numFmtId="0" fontId="3" fillId="0" borderId="0" xfId="0" applyFont="1">
      <alignment vertical="center"/>
    </xf>
    <xf numFmtId="0" fontId="5" fillId="8" borderId="1" xfId="0" applyFont="1" applyFill="1" applyBorder="1">
      <alignment vertical="center"/>
    </xf>
    <xf numFmtId="0" fontId="4" fillId="8" borderId="1" xfId="0" applyFont="1" applyFill="1" applyBorder="1">
      <alignment vertical="center"/>
    </xf>
    <xf numFmtId="2" fontId="4" fillId="8" borderId="1" xfId="0" applyNumberFormat="1" applyFont="1" applyFill="1" applyBorder="1">
      <alignment vertical="center"/>
    </xf>
    <xf numFmtId="0" fontId="5" fillId="8" borderId="1" xfId="0" applyFont="1" applyFill="1" applyBorder="1" applyAlignment="1">
      <alignment vertical="center" wrapText="1"/>
    </xf>
    <xf numFmtId="0" fontId="0" fillId="10" borderId="0" xfId="0" applyFill="1">
      <alignment vertical="center"/>
    </xf>
    <xf numFmtId="0" fontId="3" fillId="0" borderId="4" xfId="0" applyFont="1" applyFill="1" applyBorder="1">
      <alignment vertical="center"/>
    </xf>
    <xf numFmtId="0" fontId="0" fillId="0" borderId="1" xfId="0" applyBorder="1">
      <alignment vertical="center"/>
    </xf>
    <xf numFmtId="0" fontId="0" fillId="10" borderId="1" xfId="0" applyFill="1" applyBorder="1">
      <alignment vertical="center"/>
    </xf>
    <xf numFmtId="14" fontId="0" fillId="0" borderId="1" xfId="0" applyNumberFormat="1" applyBorder="1">
      <alignment vertical="center"/>
    </xf>
    <xf numFmtId="0" fontId="10" fillId="8" borderId="1" xfId="0" applyFont="1" applyFill="1" applyBorder="1">
      <alignment vertical="center"/>
    </xf>
    <xf numFmtId="0" fontId="10" fillId="8" borderId="5" xfId="0" applyFont="1" applyFill="1" applyBorder="1">
      <alignment vertical="center"/>
    </xf>
    <xf numFmtId="0" fontId="10" fillId="0" borderId="2" xfId="0" applyFont="1" applyFill="1" applyBorder="1">
      <alignment vertical="center"/>
    </xf>
    <xf numFmtId="0" fontId="10" fillId="11" borderId="3" xfId="0" applyFont="1" applyFill="1" applyBorder="1">
      <alignment vertical="center"/>
    </xf>
    <xf numFmtId="0" fontId="10" fillId="11" borderId="1" xfId="0" applyFont="1" applyFill="1" applyBorder="1">
      <alignment vertical="center"/>
    </xf>
    <xf numFmtId="0" fontId="12" fillId="0" borderId="0" xfId="0" applyFont="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2" xfId="0" applyFont="1" applyBorder="1">
      <alignment vertical="center"/>
    </xf>
    <xf numFmtId="0" fontId="10" fillId="0" borderId="3" xfId="0" applyFont="1" applyBorder="1">
      <alignment vertical="center"/>
    </xf>
    <xf numFmtId="0" fontId="10" fillId="0" borderId="1" xfId="0" applyFont="1" applyBorder="1">
      <alignment vertical="center"/>
    </xf>
    <xf numFmtId="0" fontId="10" fillId="0" borderId="0" xfId="0" quotePrefix="1" applyFont="1" applyAlignment="1">
      <alignment vertical="center"/>
    </xf>
    <xf numFmtId="0" fontId="10" fillId="0" borderId="5"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Arial" panose="020B0604020202020204" pitchFamily="34" charset="0"/>
                <a:ea typeface="+mn-ea"/>
                <a:cs typeface="Arial" panose="020B0604020202020204" pitchFamily="34" charset="0"/>
              </a:defRPr>
            </a:pPr>
            <a:r>
              <a:rPr lang="en-US"/>
              <a:t>Gain/stage</a:t>
            </a:r>
            <a:endParaRPr lang="ja-JP"/>
          </a:p>
        </c:rich>
      </c:tx>
      <c:overlay val="0"/>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title>
    <c:autoTitleDeleted val="0"/>
    <c:plotArea>
      <c:layout/>
      <c:scatterChart>
        <c:scatterStyle val="lineMarker"/>
        <c:varyColors val="0"/>
        <c:ser>
          <c:idx val="1"/>
          <c:order val="0"/>
          <c:tx>
            <c:v>GaN HEMT</c:v>
          </c:tx>
          <c:spPr>
            <a:ln w="19050" cap="rnd" cmpd="sng" algn="ctr">
              <a:noFill/>
              <a:prstDash val="solid"/>
              <a:round/>
            </a:ln>
            <a:effectLst/>
          </c:spPr>
          <c:marker>
            <c:symbol val="circle"/>
            <c:size val="7"/>
            <c:spPr>
              <a:solidFill>
                <a:schemeClr val="accent2"/>
              </a:solidFill>
              <a:ln w="6350" cap="flat" cmpd="sng" algn="ctr">
                <a:solidFill>
                  <a:schemeClr val="accent2"/>
                </a:solidFill>
                <a:prstDash val="solid"/>
                <a:round/>
              </a:ln>
              <a:effectLst/>
            </c:spPr>
          </c:marker>
          <c:xVal>
            <c:numRef>
              <c:f>'GaN HEMT'!$E$2:$E$29</c:f>
              <c:numCache>
                <c:formatCode>General</c:formatCode>
                <c:ptCount val="28"/>
                <c:pt idx="0">
                  <c:v>105.5</c:v>
                </c:pt>
                <c:pt idx="1">
                  <c:v>88</c:v>
                </c:pt>
                <c:pt idx="2">
                  <c:v>104</c:v>
                </c:pt>
                <c:pt idx="3">
                  <c:v>104</c:v>
                </c:pt>
                <c:pt idx="4">
                  <c:v>104</c:v>
                </c:pt>
                <c:pt idx="5">
                  <c:v>84</c:v>
                </c:pt>
                <c:pt idx="7">
                  <c:v>82.5</c:v>
                </c:pt>
                <c:pt idx="8">
                  <c:v>140</c:v>
                </c:pt>
                <c:pt idx="10">
                  <c:v>87.5</c:v>
                </c:pt>
                <c:pt idx="11">
                  <c:v>90</c:v>
                </c:pt>
                <c:pt idx="13">
                  <c:v>79</c:v>
                </c:pt>
                <c:pt idx="14">
                  <c:v>93.5</c:v>
                </c:pt>
                <c:pt idx="16">
                  <c:v>87.5</c:v>
                </c:pt>
                <c:pt idx="17">
                  <c:v>90</c:v>
                </c:pt>
                <c:pt idx="19">
                  <c:v>80.75</c:v>
                </c:pt>
                <c:pt idx="20">
                  <c:v>84.25</c:v>
                </c:pt>
                <c:pt idx="22">
                  <c:v>73.75</c:v>
                </c:pt>
                <c:pt idx="23">
                  <c:v>80</c:v>
                </c:pt>
              </c:numCache>
            </c:numRef>
          </c:xVal>
          <c:yVal>
            <c:numRef>
              <c:f>'GaN HEMT'!$W$2:$W$29</c:f>
              <c:numCache>
                <c:formatCode>0.0</c:formatCode>
                <c:ptCount val="28"/>
                <c:pt idx="0">
                  <c:v>5.74</c:v>
                </c:pt>
                <c:pt idx="1">
                  <c:v>5.625</c:v>
                </c:pt>
                <c:pt idx="2">
                  <c:v>7.4749999999999996</c:v>
                </c:pt>
                <c:pt idx="5">
                  <c:v>5.875</c:v>
                </c:pt>
                <c:pt idx="7">
                  <c:v>4.8</c:v>
                </c:pt>
                <c:pt idx="8">
                  <c:v>4.166666666666667</c:v>
                </c:pt>
                <c:pt idx="10">
                  <c:v>5</c:v>
                </c:pt>
                <c:pt idx="11">
                  <c:v>5</c:v>
                </c:pt>
                <c:pt idx="13">
                  <c:v>4.1124999999999998</c:v>
                </c:pt>
                <c:pt idx="14">
                  <c:v>4.375</c:v>
                </c:pt>
                <c:pt idx="16">
                  <c:v>4.5</c:v>
                </c:pt>
                <c:pt idx="17">
                  <c:v>5</c:v>
                </c:pt>
                <c:pt idx="19">
                  <c:v>6.333333333333333</c:v>
                </c:pt>
                <c:pt idx="20">
                  <c:v>5.25</c:v>
                </c:pt>
                <c:pt idx="22">
                  <c:v>5.6875</c:v>
                </c:pt>
                <c:pt idx="23">
                  <c:v>5.0999999999999996</c:v>
                </c:pt>
              </c:numCache>
            </c:numRef>
          </c:yVal>
          <c:smooth val="0"/>
          <c:extLst>
            <c:ext xmlns:c16="http://schemas.microsoft.com/office/drawing/2014/chart" uri="{C3380CC4-5D6E-409C-BE32-E72D297353CC}">
              <c16:uniqueId val="{0000000F-42FB-41AD-B16B-8E558471C90D}"/>
            </c:ext>
          </c:extLst>
        </c:ser>
        <c:ser>
          <c:idx val="2"/>
          <c:order val="1"/>
          <c:tx>
            <c:v>InP HEMT</c:v>
          </c:tx>
          <c:spPr>
            <a:ln w="19050" cap="rnd" cmpd="sng" algn="ctr">
              <a:noFill/>
              <a:prstDash val="solid"/>
              <a:round/>
            </a:ln>
            <a:effectLst/>
          </c:spPr>
          <c:marker>
            <c:symbol val="triangle"/>
            <c:size val="8"/>
            <c:spPr>
              <a:solidFill>
                <a:schemeClr val="accent3"/>
              </a:solidFill>
              <a:ln w="6350" cap="flat" cmpd="sng" algn="ctr">
                <a:solidFill>
                  <a:schemeClr val="accent3"/>
                </a:solidFill>
                <a:prstDash val="solid"/>
                <a:round/>
              </a:ln>
              <a:effectLst/>
            </c:spPr>
          </c:marker>
          <c:xVal>
            <c:numRef>
              <c:f>'InP HEMT'!$E$2:$E$31</c:f>
              <c:numCache>
                <c:formatCode>General</c:formatCode>
                <c:ptCount val="30"/>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4">
                  <c:v>300</c:v>
                </c:pt>
                <c:pt idx="15">
                  <c:v>89</c:v>
                </c:pt>
                <c:pt idx="16">
                  <c:v>85.5</c:v>
                </c:pt>
                <c:pt idx="17">
                  <c:v>94</c:v>
                </c:pt>
                <c:pt idx="19">
                  <c:v>83</c:v>
                </c:pt>
                <c:pt idx="20">
                  <c:v>87.5</c:v>
                </c:pt>
                <c:pt idx="21">
                  <c:v>83.5</c:v>
                </c:pt>
                <c:pt idx="22">
                  <c:v>83.5</c:v>
                </c:pt>
                <c:pt idx="23">
                  <c:v>90</c:v>
                </c:pt>
                <c:pt idx="24">
                  <c:v>94</c:v>
                </c:pt>
                <c:pt idx="25">
                  <c:v>96</c:v>
                </c:pt>
              </c:numCache>
            </c:numRef>
          </c:xVal>
          <c:yVal>
            <c:numRef>
              <c:f>'InP HEMT'!$W$2:$W$31</c:f>
              <c:numCache>
                <c:formatCode>0.00_);[Red]\(0.00\)</c:formatCode>
                <c:ptCount val="30"/>
                <c:pt idx="1">
                  <c:v>1.24</c:v>
                </c:pt>
                <c:pt idx="2">
                  <c:v>1</c:v>
                </c:pt>
                <c:pt idx="3">
                  <c:v>3.4375</c:v>
                </c:pt>
                <c:pt idx="4">
                  <c:v>2</c:v>
                </c:pt>
                <c:pt idx="5">
                  <c:v>0.9</c:v>
                </c:pt>
                <c:pt idx="6">
                  <c:v>1.35</c:v>
                </c:pt>
                <c:pt idx="7">
                  <c:v>1.3599999999999999</c:v>
                </c:pt>
                <c:pt idx="8">
                  <c:v>5.625</c:v>
                </c:pt>
                <c:pt idx="9">
                  <c:v>0.55555555555555558</c:v>
                </c:pt>
                <c:pt idx="10">
                  <c:v>5.5</c:v>
                </c:pt>
                <c:pt idx="11">
                  <c:v>1.4</c:v>
                </c:pt>
                <c:pt idx="12">
                  <c:v>6.4666666666666659</c:v>
                </c:pt>
                <c:pt idx="14">
                  <c:v>5</c:v>
                </c:pt>
                <c:pt idx="15">
                  <c:v>5.5</c:v>
                </c:pt>
                <c:pt idx="17">
                  <c:v>5</c:v>
                </c:pt>
                <c:pt idx="19">
                  <c:v>8.1666666666666661</c:v>
                </c:pt>
                <c:pt idx="20">
                  <c:v>8</c:v>
                </c:pt>
                <c:pt idx="21">
                  <c:v>10.633333333333333</c:v>
                </c:pt>
                <c:pt idx="22">
                  <c:v>9.3333333333333339</c:v>
                </c:pt>
                <c:pt idx="23">
                  <c:v>6</c:v>
                </c:pt>
                <c:pt idx="25">
                  <c:v>4.24</c:v>
                </c:pt>
              </c:numCache>
            </c:numRef>
          </c:yVal>
          <c:smooth val="0"/>
          <c:extLst>
            <c:ext xmlns:c16="http://schemas.microsoft.com/office/drawing/2014/chart" uri="{C3380CC4-5D6E-409C-BE32-E72D297353CC}">
              <c16:uniqueId val="{00000010-42FB-41AD-B16B-8E558471C90D}"/>
            </c:ext>
          </c:extLst>
        </c:ser>
        <c:ser>
          <c:idx val="3"/>
          <c:order val="2"/>
          <c:tx>
            <c:v>mHEMT</c:v>
          </c:tx>
          <c:spPr>
            <a:ln w="19050" cap="rnd" cmpd="sng" algn="ctr">
              <a:noFill/>
              <a:prstDash val="solid"/>
              <a:round/>
            </a:ln>
            <a:effectLst/>
          </c:spPr>
          <c:marker>
            <c:symbol val="diamond"/>
            <c:size val="8"/>
            <c:spPr>
              <a:solidFill>
                <a:schemeClr val="accent4"/>
              </a:solidFill>
              <a:ln w="6350" cap="flat" cmpd="sng" algn="ctr">
                <a:solidFill>
                  <a:schemeClr val="accent4"/>
                </a:solidFill>
                <a:prstDash val="solid"/>
                <a:round/>
              </a:ln>
              <a:effectLst/>
            </c:spPr>
          </c:marker>
          <c:xVal>
            <c:numRef>
              <c:f>mHEMT!$E$2:$E$61</c:f>
              <c:numCache>
                <c:formatCode>General</c:formatCode>
                <c:ptCount val="60"/>
                <c:pt idx="0">
                  <c:v>395</c:v>
                </c:pt>
                <c:pt idx="1">
                  <c:v>285</c:v>
                </c:pt>
                <c:pt idx="2">
                  <c:v>91.5</c:v>
                </c:pt>
                <c:pt idx="3">
                  <c:v>91.5</c:v>
                </c:pt>
                <c:pt idx="4">
                  <c:v>91.5</c:v>
                </c:pt>
                <c:pt idx="5">
                  <c:v>305</c:v>
                </c:pt>
                <c:pt idx="6">
                  <c:v>92.5</c:v>
                </c:pt>
                <c:pt idx="7">
                  <c:v>92.5</c:v>
                </c:pt>
                <c:pt idx="8">
                  <c:v>130.5</c:v>
                </c:pt>
                <c:pt idx="9">
                  <c:v>126</c:v>
                </c:pt>
                <c:pt idx="10">
                  <c:v>258</c:v>
                </c:pt>
                <c:pt idx="11">
                  <c:v>183</c:v>
                </c:pt>
                <c:pt idx="12">
                  <c:v>325</c:v>
                </c:pt>
                <c:pt idx="13">
                  <c:v>325</c:v>
                </c:pt>
                <c:pt idx="14">
                  <c:v>550</c:v>
                </c:pt>
                <c:pt idx="15">
                  <c:v>600</c:v>
                </c:pt>
                <c:pt idx="16">
                  <c:v>595.5</c:v>
                </c:pt>
                <c:pt idx="17">
                  <c:v>90</c:v>
                </c:pt>
                <c:pt idx="18">
                  <c:v>90</c:v>
                </c:pt>
                <c:pt idx="19">
                  <c:v>243</c:v>
                </c:pt>
                <c:pt idx="20">
                  <c:v>243</c:v>
                </c:pt>
                <c:pt idx="21">
                  <c:v>260</c:v>
                </c:pt>
                <c:pt idx="22">
                  <c:v>610</c:v>
                </c:pt>
                <c:pt idx="23">
                  <c:v>243</c:v>
                </c:pt>
                <c:pt idx="24">
                  <c:v>243</c:v>
                </c:pt>
                <c:pt idx="25">
                  <c:v>135</c:v>
                </c:pt>
                <c:pt idx="26">
                  <c:v>460</c:v>
                </c:pt>
                <c:pt idx="27">
                  <c:v>320</c:v>
                </c:pt>
                <c:pt idx="28">
                  <c:v>320</c:v>
                </c:pt>
                <c:pt idx="29">
                  <c:v>130</c:v>
                </c:pt>
                <c:pt idx="30">
                  <c:v>141</c:v>
                </c:pt>
                <c:pt idx="31">
                  <c:v>280</c:v>
                </c:pt>
                <c:pt idx="32">
                  <c:v>94</c:v>
                </c:pt>
                <c:pt idx="33">
                  <c:v>94</c:v>
                </c:pt>
                <c:pt idx="34">
                  <c:v>210</c:v>
                </c:pt>
                <c:pt idx="35">
                  <c:v>210</c:v>
                </c:pt>
                <c:pt idx="36">
                  <c:v>193</c:v>
                </c:pt>
                <c:pt idx="37">
                  <c:v>300</c:v>
                </c:pt>
                <c:pt idx="38">
                  <c:v>196.5</c:v>
                </c:pt>
                <c:pt idx="40">
                  <c:v>80</c:v>
                </c:pt>
                <c:pt idx="41">
                  <c:v>79</c:v>
                </c:pt>
                <c:pt idx="42">
                  <c:v>165</c:v>
                </c:pt>
                <c:pt idx="43">
                  <c:v>165</c:v>
                </c:pt>
                <c:pt idx="44">
                  <c:v>165</c:v>
                </c:pt>
                <c:pt idx="45">
                  <c:v>183</c:v>
                </c:pt>
                <c:pt idx="46">
                  <c:v>183</c:v>
                </c:pt>
                <c:pt idx="47">
                  <c:v>183</c:v>
                </c:pt>
                <c:pt idx="48">
                  <c:v>183</c:v>
                </c:pt>
                <c:pt idx="49">
                  <c:v>155</c:v>
                </c:pt>
                <c:pt idx="50">
                  <c:v>140</c:v>
                </c:pt>
                <c:pt idx="51">
                  <c:v>140</c:v>
                </c:pt>
                <c:pt idx="52">
                  <c:v>82.5</c:v>
                </c:pt>
                <c:pt idx="53">
                  <c:v>180</c:v>
                </c:pt>
              </c:numCache>
            </c:numRef>
          </c:xVal>
          <c:yVal>
            <c:numRef>
              <c:f>mHEMT!$W$2:$W$61</c:f>
              <c:numCache>
                <c:formatCode>0.00</c:formatCode>
                <c:ptCount val="60"/>
                <c:pt idx="0">
                  <c:v>5.75</c:v>
                </c:pt>
                <c:pt idx="1">
                  <c:v>7.333333333333333</c:v>
                </c:pt>
                <c:pt idx="2">
                  <c:v>7.25</c:v>
                </c:pt>
                <c:pt idx="3">
                  <c:v>6.4375</c:v>
                </c:pt>
                <c:pt idx="4">
                  <c:v>6.4375</c:v>
                </c:pt>
                <c:pt idx="5">
                  <c:v>6.875</c:v>
                </c:pt>
                <c:pt idx="6">
                  <c:v>6.55</c:v>
                </c:pt>
                <c:pt idx="7">
                  <c:v>6.25</c:v>
                </c:pt>
                <c:pt idx="8">
                  <c:v>9.7666666666666675</c:v>
                </c:pt>
                <c:pt idx="9">
                  <c:v>7.166666666666667</c:v>
                </c:pt>
                <c:pt idx="10">
                  <c:v>8.4</c:v>
                </c:pt>
                <c:pt idx="11">
                  <c:v>4.9000000000000004</c:v>
                </c:pt>
                <c:pt idx="12">
                  <c:v>3.5</c:v>
                </c:pt>
                <c:pt idx="13">
                  <c:v>6.9</c:v>
                </c:pt>
                <c:pt idx="14">
                  <c:v>2.375</c:v>
                </c:pt>
                <c:pt idx="15">
                  <c:v>2.1166666666666667</c:v>
                </c:pt>
                <c:pt idx="16">
                  <c:v>2.0083333333333333</c:v>
                </c:pt>
                <c:pt idx="17">
                  <c:v>6.5999999999999988</c:v>
                </c:pt>
                <c:pt idx="18">
                  <c:v>5.5</c:v>
                </c:pt>
                <c:pt idx="19">
                  <c:v>7.375</c:v>
                </c:pt>
                <c:pt idx="20">
                  <c:v>7.3250000000000002</c:v>
                </c:pt>
                <c:pt idx="21">
                  <c:v>7.5</c:v>
                </c:pt>
                <c:pt idx="22">
                  <c:v>3.3833333333333333</c:v>
                </c:pt>
                <c:pt idx="23">
                  <c:v>6.5</c:v>
                </c:pt>
                <c:pt idx="24">
                  <c:v>8.4</c:v>
                </c:pt>
                <c:pt idx="25">
                  <c:v>5.4375</c:v>
                </c:pt>
                <c:pt idx="26">
                  <c:v>3.6375000000000002</c:v>
                </c:pt>
                <c:pt idx="27">
                  <c:v>5.8</c:v>
                </c:pt>
                <c:pt idx="28">
                  <c:v>4.3125</c:v>
                </c:pt>
                <c:pt idx="29">
                  <c:v>5.75</c:v>
                </c:pt>
                <c:pt idx="30">
                  <c:v>5</c:v>
                </c:pt>
                <c:pt idx="31">
                  <c:v>4.375</c:v>
                </c:pt>
                <c:pt idx="32">
                  <c:v>10</c:v>
                </c:pt>
                <c:pt idx="33">
                  <c:v>11</c:v>
                </c:pt>
                <c:pt idx="34">
                  <c:v>8.75</c:v>
                </c:pt>
                <c:pt idx="35">
                  <c:v>9</c:v>
                </c:pt>
                <c:pt idx="36">
                  <c:v>4.1875</c:v>
                </c:pt>
                <c:pt idx="37">
                  <c:v>6</c:v>
                </c:pt>
                <c:pt idx="38">
                  <c:v>4.625</c:v>
                </c:pt>
                <c:pt idx="40">
                  <c:v>8.3333333333333339</c:v>
                </c:pt>
                <c:pt idx="41">
                  <c:v>8.9666666666666668</c:v>
                </c:pt>
                <c:pt idx="42">
                  <c:v>5</c:v>
                </c:pt>
                <c:pt idx="43">
                  <c:v>6.25</c:v>
                </c:pt>
                <c:pt idx="44">
                  <c:v>5</c:v>
                </c:pt>
                <c:pt idx="45">
                  <c:v>4</c:v>
                </c:pt>
                <c:pt idx="46">
                  <c:v>4.25</c:v>
                </c:pt>
                <c:pt idx="47">
                  <c:v>4</c:v>
                </c:pt>
                <c:pt idx="48">
                  <c:v>3.8</c:v>
                </c:pt>
                <c:pt idx="50">
                  <c:v>6.875</c:v>
                </c:pt>
                <c:pt idx="51">
                  <c:v>5.875</c:v>
                </c:pt>
                <c:pt idx="52">
                  <c:v>4.75</c:v>
                </c:pt>
                <c:pt idx="53">
                  <c:v>3</c:v>
                </c:pt>
              </c:numCache>
            </c:numRef>
          </c:yVal>
          <c:smooth val="0"/>
          <c:extLst>
            <c:ext xmlns:c16="http://schemas.microsoft.com/office/drawing/2014/chart" uri="{C3380CC4-5D6E-409C-BE32-E72D297353CC}">
              <c16:uniqueId val="{00000011-42FB-41AD-B16B-8E558471C90D}"/>
            </c:ext>
          </c:extLst>
        </c:ser>
        <c:ser>
          <c:idx val="0"/>
          <c:order val="3"/>
          <c:tx>
            <c:v>InP HBT</c:v>
          </c:tx>
          <c:spPr>
            <a:ln w="19050" cap="rnd" cmpd="sng" algn="ctr">
              <a:noFill/>
              <a:prstDash val="solid"/>
              <a:round/>
            </a:ln>
            <a:effectLst/>
          </c:spPr>
          <c:marker>
            <c:symbol val="square"/>
            <c:size val="7"/>
            <c:spPr>
              <a:solidFill>
                <a:schemeClr val="accent1"/>
              </a:solidFill>
              <a:ln w="6350" cap="flat" cmpd="sng" algn="ctr">
                <a:solidFill>
                  <a:schemeClr val="accent1"/>
                </a:solidFill>
                <a:prstDash val="solid"/>
                <a:round/>
              </a:ln>
              <a:effectLst/>
            </c:spPr>
          </c:marker>
          <c:xVal>
            <c:numRef>
              <c:f>'InP HBT'!$E$2:$E$21</c:f>
              <c:numCache>
                <c:formatCode>General</c:formatCode>
                <c:ptCount val="20"/>
                <c:pt idx="0">
                  <c:v>130</c:v>
                </c:pt>
                <c:pt idx="1">
                  <c:v>206</c:v>
                </c:pt>
                <c:pt idx="2">
                  <c:v>206</c:v>
                </c:pt>
                <c:pt idx="3">
                  <c:v>155</c:v>
                </c:pt>
                <c:pt idx="4">
                  <c:v>90</c:v>
                </c:pt>
                <c:pt idx="5">
                  <c:v>128</c:v>
                </c:pt>
                <c:pt idx="6">
                  <c:v>130</c:v>
                </c:pt>
                <c:pt idx="7">
                  <c:v>180</c:v>
                </c:pt>
                <c:pt idx="8">
                  <c:v>577</c:v>
                </c:pt>
                <c:pt idx="9">
                  <c:v>94.5</c:v>
                </c:pt>
                <c:pt idx="10">
                  <c:v>95</c:v>
                </c:pt>
                <c:pt idx="11">
                  <c:v>300</c:v>
                </c:pt>
                <c:pt idx="12">
                  <c:v>195</c:v>
                </c:pt>
                <c:pt idx="13">
                  <c:v>240</c:v>
                </c:pt>
                <c:pt idx="14">
                  <c:v>75</c:v>
                </c:pt>
                <c:pt idx="15">
                  <c:v>75</c:v>
                </c:pt>
                <c:pt idx="16">
                  <c:v>125</c:v>
                </c:pt>
                <c:pt idx="17">
                  <c:v>265</c:v>
                </c:pt>
                <c:pt idx="18">
                  <c:v>387.5</c:v>
                </c:pt>
                <c:pt idx="19">
                  <c:v>300</c:v>
                </c:pt>
              </c:numCache>
            </c:numRef>
          </c:xVal>
          <c:yVal>
            <c:numRef>
              <c:f>'InP HBT'!$W$2:$W$21</c:f>
              <c:numCache>
                <c:formatCode>0.00</c:formatCode>
                <c:ptCount val="20"/>
                <c:pt idx="0">
                  <c:v>3.8333333333333335</c:v>
                </c:pt>
                <c:pt idx="1">
                  <c:v>2.9612499999999997</c:v>
                </c:pt>
                <c:pt idx="2">
                  <c:v>6.125</c:v>
                </c:pt>
                <c:pt idx="3">
                  <c:v>6.5</c:v>
                </c:pt>
                <c:pt idx="4">
                  <c:v>6.4</c:v>
                </c:pt>
                <c:pt idx="5">
                  <c:v>7.666666666666667</c:v>
                </c:pt>
                <c:pt idx="7">
                  <c:v>7.9749999999999996</c:v>
                </c:pt>
                <c:pt idx="9">
                  <c:v>9.75</c:v>
                </c:pt>
                <c:pt idx="10">
                  <c:v>6.4</c:v>
                </c:pt>
                <c:pt idx="11">
                  <c:v>4.9000000000000004</c:v>
                </c:pt>
                <c:pt idx="12">
                  <c:v>3.4</c:v>
                </c:pt>
                <c:pt idx="13">
                  <c:v>2.9</c:v>
                </c:pt>
                <c:pt idx="14">
                  <c:v>4.2666666666666666</c:v>
                </c:pt>
                <c:pt idx="15">
                  <c:v>7.5</c:v>
                </c:pt>
                <c:pt idx="16">
                  <c:v>8</c:v>
                </c:pt>
                <c:pt idx="17">
                  <c:v>3.4</c:v>
                </c:pt>
                <c:pt idx="18">
                  <c:v>2.4375</c:v>
                </c:pt>
                <c:pt idx="19">
                  <c:v>7.9</c:v>
                </c:pt>
              </c:numCache>
            </c:numRef>
          </c:yVal>
          <c:smooth val="0"/>
          <c:extLst>
            <c:ext xmlns:c16="http://schemas.microsoft.com/office/drawing/2014/chart" uri="{C3380CC4-5D6E-409C-BE32-E72D297353CC}">
              <c16:uniqueId val="{0000000E-42FB-41AD-B16B-8E558471C90D}"/>
            </c:ext>
          </c:extLst>
        </c:ser>
        <c:dLbls>
          <c:showLegendKey val="0"/>
          <c:showVal val="0"/>
          <c:showCatName val="0"/>
          <c:showSerName val="0"/>
          <c:showPercent val="0"/>
          <c:showBubbleSize val="0"/>
        </c:dLbls>
        <c:axId val="1963761151"/>
        <c:axId val="14750015"/>
      </c:scatterChart>
      <c:valAx>
        <c:axId val="1963761151"/>
        <c:scaling>
          <c:orientation val="minMax"/>
        </c:scaling>
        <c:delete val="0"/>
        <c:axPos val="b"/>
        <c:majorGridlines>
          <c:spPr>
            <a:ln w="9525" cap="flat" cmpd="sng" algn="ctr">
              <a:solidFill>
                <a:schemeClr val="tx1">
                  <a:lumMod val="15000"/>
                  <a:lumOff val="8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r>
                  <a:rPr lang="en-US"/>
                  <a:t>Frequency (GHz)</a:t>
                </a:r>
                <a:endParaRPr lang="ja-JP"/>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title>
        <c:numFmt formatCode="General" sourceLinked="1"/>
        <c:majorTickMark val="in"/>
        <c:minorTickMark val="in"/>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crossAx val="14750015"/>
        <c:crosses val="autoZero"/>
        <c:crossBetween val="midCat"/>
        <c:minorUnit val="100"/>
      </c:valAx>
      <c:valAx>
        <c:axId val="14750015"/>
        <c:scaling>
          <c:orientation val="minMax"/>
          <c:max val="12"/>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r>
                  <a:rPr lang="en-US"/>
                  <a:t>Gain/stage (dB)</a:t>
                </a:r>
                <a:endParaRPr lang="ja-JP"/>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title>
        <c:numFmt formatCode="0" sourceLinked="0"/>
        <c:majorTickMark val="in"/>
        <c:minorTickMark val="in"/>
        <c:tickLblPos val="nextTo"/>
        <c:spPr>
          <a:noFill/>
          <a:ln w="9525" cap="flat" cmpd="sng" algn="ctr">
            <a:solidFill>
              <a:schemeClr val="tx1"/>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crossAx val="1963761151"/>
        <c:crosses val="autoZero"/>
        <c:crossBetween val="midCat"/>
        <c:minorUnit val="1"/>
      </c:valAx>
      <c:spPr>
        <a:solidFill>
          <a:schemeClr val="bg1"/>
        </a:solidFill>
        <a:ln>
          <a:solidFill>
            <a:schemeClr val="tx1"/>
          </a:solidFill>
        </a:ln>
        <a:effectLst/>
      </c:spPr>
    </c:plotArea>
    <c:legend>
      <c:legendPos val="r"/>
      <c:layout>
        <c:manualLayout>
          <c:xMode val="edge"/>
          <c:yMode val="edge"/>
          <c:x val="0.69369673202614379"/>
          <c:y val="0.11251685185185185"/>
          <c:w val="0.23341111111111112"/>
          <c:h val="0.27403962962962963"/>
        </c:manualLayout>
      </c:layout>
      <c:overlay val="1"/>
      <c:spPr>
        <a:solidFill>
          <a:schemeClr val="bg1"/>
        </a:solidFill>
        <a:ln>
          <a:solidFill>
            <a:schemeClr val="tx1"/>
          </a:solidFill>
        </a:ln>
        <a:effectLst/>
      </c:spPr>
      <c:txPr>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ja-JP"/>
        </a:p>
      </c:txPr>
    </c:legend>
    <c:plotVisOnly val="1"/>
    <c:dispBlanksAs val="gap"/>
    <c:showDLblsOverMax val="0"/>
    <c:extLst/>
  </c:chart>
  <c:spPr>
    <a:solidFill>
      <a:schemeClr val="bg1"/>
    </a:solidFill>
    <a:ln w="6350" cap="flat" cmpd="sng" algn="ctr">
      <a:solidFill>
        <a:schemeClr val="tx1">
          <a:tint val="75000"/>
        </a:schemeClr>
      </a:solidFill>
      <a:prstDash val="solid"/>
      <a:round/>
    </a:ln>
    <a:effectLst/>
  </c:spPr>
  <c:txPr>
    <a:bodyPr/>
    <a:lstStyle/>
    <a:p>
      <a:pPr>
        <a:defRPr sz="1200" b="1">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HEMT'!$AC$1</c:f>
              <c:strCache>
                <c:ptCount val="1"/>
                <c:pt idx="0">
                  <c:v>NF(dB)_InP HEMT</c:v>
                </c:pt>
              </c:strCache>
            </c:strRef>
          </c:tx>
          <c:spPr>
            <a:ln w="19050" cap="rnd">
              <a:noFill/>
              <a:round/>
            </a:ln>
            <a:effectLst/>
          </c:spPr>
          <c:marker>
            <c:symbol val="circle"/>
            <c:size val="5"/>
            <c:spPr>
              <a:solidFill>
                <a:schemeClr val="accent1"/>
              </a:solidFill>
              <a:ln w="9525">
                <a:solidFill>
                  <a:schemeClr val="accent1"/>
                </a:solidFill>
              </a:ln>
              <a:effectLst/>
            </c:spPr>
          </c:marker>
          <c:xVal>
            <c:numRef>
              <c:f>'InP HEMT'!$E$2:$E$31</c:f>
              <c:numCache>
                <c:formatCode>General</c:formatCode>
                <c:ptCount val="30"/>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4">
                  <c:v>300</c:v>
                </c:pt>
                <c:pt idx="15">
                  <c:v>89</c:v>
                </c:pt>
                <c:pt idx="16">
                  <c:v>85.5</c:v>
                </c:pt>
                <c:pt idx="17">
                  <c:v>94</c:v>
                </c:pt>
                <c:pt idx="19">
                  <c:v>83</c:v>
                </c:pt>
                <c:pt idx="20">
                  <c:v>87.5</c:v>
                </c:pt>
                <c:pt idx="21">
                  <c:v>83.5</c:v>
                </c:pt>
                <c:pt idx="22">
                  <c:v>83.5</c:v>
                </c:pt>
                <c:pt idx="23">
                  <c:v>90</c:v>
                </c:pt>
                <c:pt idx="24">
                  <c:v>94</c:v>
                </c:pt>
                <c:pt idx="25">
                  <c:v>96</c:v>
                </c:pt>
              </c:numCache>
            </c:numRef>
          </c:xVal>
          <c:yVal>
            <c:numRef>
              <c:f>'InP HEMT'!$AC$2:$AC$31</c:f>
              <c:numCache>
                <c:formatCode>General</c:formatCode>
                <c:ptCount val="30"/>
                <c:pt idx="0">
                  <c:v>4.05</c:v>
                </c:pt>
                <c:pt idx="1">
                  <c:v>12</c:v>
                </c:pt>
                <c:pt idx="3">
                  <c:v>9.6</c:v>
                </c:pt>
                <c:pt idx="4">
                  <c:v>9.6</c:v>
                </c:pt>
                <c:pt idx="6">
                  <c:v>12</c:v>
                </c:pt>
                <c:pt idx="7">
                  <c:v>12.2</c:v>
                </c:pt>
                <c:pt idx="8">
                  <c:v>6.15</c:v>
                </c:pt>
                <c:pt idx="10">
                  <c:v>7.5</c:v>
                </c:pt>
                <c:pt idx="11">
                  <c:v>13</c:v>
                </c:pt>
                <c:pt idx="12">
                  <c:v>2.5</c:v>
                </c:pt>
                <c:pt idx="14">
                  <c:v>9.8000000000000007</c:v>
                </c:pt>
                <c:pt idx="15">
                  <c:v>3.5</c:v>
                </c:pt>
                <c:pt idx="16">
                  <c:v>4</c:v>
                </c:pt>
                <c:pt idx="17">
                  <c:v>4.5</c:v>
                </c:pt>
                <c:pt idx="20">
                  <c:v>2.7</c:v>
                </c:pt>
                <c:pt idx="22">
                  <c:v>1.75</c:v>
                </c:pt>
                <c:pt idx="23">
                  <c:v>1.9</c:v>
                </c:pt>
                <c:pt idx="24">
                  <c:v>1.75</c:v>
                </c:pt>
              </c:numCache>
            </c:numRef>
          </c:yVal>
          <c:smooth val="0"/>
          <c:extLst>
            <c:ext xmlns:c16="http://schemas.microsoft.com/office/drawing/2014/chart" uri="{C3380CC4-5D6E-409C-BE32-E72D297353CC}">
              <c16:uniqueId val="{00000000-85CD-41EE-AAC6-2B512B7F47BC}"/>
            </c:ext>
          </c:extLst>
        </c:ser>
        <c:dLbls>
          <c:showLegendKey val="0"/>
          <c:showVal val="0"/>
          <c:showCatName val="0"/>
          <c:showSerName val="0"/>
          <c:showPercent val="0"/>
          <c:showBubbleSize val="0"/>
        </c:dLbls>
        <c:axId val="7611631"/>
        <c:axId val="7610799"/>
      </c:scatterChart>
      <c:valAx>
        <c:axId val="761163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NF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HEMT'!$J$1</c:f>
              <c:strCache>
                <c:ptCount val="1"/>
                <c:pt idx="0">
                  <c:v>Ft(GHz)</c:v>
                </c:pt>
              </c:strCache>
            </c:strRef>
          </c:tx>
          <c:spPr>
            <a:ln w="19050" cap="rnd">
              <a:noFill/>
              <a:round/>
            </a:ln>
            <a:effectLst/>
          </c:spPr>
          <c:marker>
            <c:symbol val="circle"/>
            <c:size val="5"/>
            <c:spPr>
              <a:solidFill>
                <a:schemeClr val="accent1"/>
              </a:solidFill>
              <a:ln w="9525">
                <a:solidFill>
                  <a:schemeClr val="accent1"/>
                </a:solidFill>
              </a:ln>
              <a:effectLst/>
            </c:spPr>
          </c:marker>
          <c:xVal>
            <c:numRef>
              <c:f>'InP HEMT'!$F$2:$F$31</c:f>
              <c:numCache>
                <c:formatCode>General</c:formatCode>
                <c:ptCount val="30"/>
                <c:pt idx="1">
                  <c:v>2.5000000000000001E-2</c:v>
                </c:pt>
                <c:pt idx="2">
                  <c:v>2.5000000000000001E-2</c:v>
                </c:pt>
                <c:pt idx="3">
                  <c:v>2.5000000000000001E-2</c:v>
                </c:pt>
                <c:pt idx="4">
                  <c:v>2.5000000000000001E-2</c:v>
                </c:pt>
                <c:pt idx="5">
                  <c:v>2.5000000000000001E-2</c:v>
                </c:pt>
                <c:pt idx="6">
                  <c:v>2.5000000000000001E-2</c:v>
                </c:pt>
                <c:pt idx="7">
                  <c:v>2.5000000000000001E-2</c:v>
                </c:pt>
                <c:pt idx="9">
                  <c:v>2.5000000000000001E-2</c:v>
                </c:pt>
                <c:pt idx="10">
                  <c:v>2.5000000000000001E-2</c:v>
                </c:pt>
                <c:pt idx="11">
                  <c:v>0.03</c:v>
                </c:pt>
                <c:pt idx="12">
                  <c:v>0.1</c:v>
                </c:pt>
                <c:pt idx="14">
                  <c:v>7.4999999999999997E-2</c:v>
                </c:pt>
                <c:pt idx="15">
                  <c:v>0.08</c:v>
                </c:pt>
                <c:pt idx="16">
                  <c:v>0.13</c:v>
                </c:pt>
                <c:pt idx="17">
                  <c:v>0.13</c:v>
                </c:pt>
                <c:pt idx="19">
                  <c:v>3.5000000000000003E-2</c:v>
                </c:pt>
                <c:pt idx="20">
                  <c:v>3.5000000000000003E-2</c:v>
                </c:pt>
                <c:pt idx="21">
                  <c:v>3.5000000000000003E-2</c:v>
                </c:pt>
                <c:pt idx="22">
                  <c:v>3.5000000000000003E-2</c:v>
                </c:pt>
                <c:pt idx="23">
                  <c:v>0.1</c:v>
                </c:pt>
                <c:pt idx="24">
                  <c:v>0.1</c:v>
                </c:pt>
                <c:pt idx="25">
                  <c:v>0.1</c:v>
                </c:pt>
              </c:numCache>
            </c:numRef>
          </c:xVal>
          <c:yVal>
            <c:numRef>
              <c:f>'InP HEMT'!$J$2:$J$31</c:f>
              <c:numCache>
                <c:formatCode>General</c:formatCode>
                <c:ptCount val="30"/>
                <c:pt idx="1">
                  <c:v>610</c:v>
                </c:pt>
                <c:pt idx="2">
                  <c:v>610</c:v>
                </c:pt>
                <c:pt idx="4">
                  <c:v>610</c:v>
                </c:pt>
                <c:pt idx="5">
                  <c:v>610</c:v>
                </c:pt>
                <c:pt idx="6">
                  <c:v>610</c:v>
                </c:pt>
                <c:pt idx="11">
                  <c:v>600</c:v>
                </c:pt>
                <c:pt idx="14">
                  <c:v>320</c:v>
                </c:pt>
                <c:pt idx="19">
                  <c:v>480</c:v>
                </c:pt>
                <c:pt idx="20">
                  <c:v>480</c:v>
                </c:pt>
                <c:pt idx="21">
                  <c:v>480</c:v>
                </c:pt>
                <c:pt idx="22">
                  <c:v>480</c:v>
                </c:pt>
                <c:pt idx="23">
                  <c:v>200</c:v>
                </c:pt>
                <c:pt idx="24">
                  <c:v>200</c:v>
                </c:pt>
                <c:pt idx="25">
                  <c:v>258</c:v>
                </c:pt>
              </c:numCache>
            </c:numRef>
          </c:yVal>
          <c:smooth val="0"/>
          <c:extLst>
            <c:ext xmlns:c16="http://schemas.microsoft.com/office/drawing/2014/chart" uri="{C3380CC4-5D6E-409C-BE32-E72D297353CC}">
              <c16:uniqueId val="{00000000-2863-4648-8703-BC3842F58AAB}"/>
            </c:ext>
          </c:extLst>
        </c:ser>
        <c:dLbls>
          <c:showLegendKey val="0"/>
          <c:showVal val="0"/>
          <c:showCatName val="0"/>
          <c:showSerName val="0"/>
          <c:showPercent val="0"/>
          <c:showBubbleSize val="0"/>
        </c:dLbls>
        <c:axId val="1580579807"/>
        <c:axId val="1580582303"/>
      </c:scatterChart>
      <c:valAx>
        <c:axId val="158057980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Lg</a:t>
                </a:r>
                <a:r>
                  <a:rPr lang="en-US" altLang="ja-JP" baseline="0"/>
                  <a:t> (um)</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0582303"/>
        <c:crosses val="autoZero"/>
        <c:crossBetween val="midCat"/>
      </c:valAx>
      <c:valAx>
        <c:axId val="15805823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Ft</a:t>
                </a:r>
                <a:r>
                  <a:rPr lang="en-US" altLang="ja-JP" baseline="0"/>
                  <a:t> (GHz)</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0579807"/>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HEMT'!$AI$1</c:f>
              <c:strCache>
                <c:ptCount val="1"/>
                <c:pt idx="0">
                  <c:v>Size(mm2)</c:v>
                </c:pt>
              </c:strCache>
            </c:strRef>
          </c:tx>
          <c:spPr>
            <a:ln w="25400" cap="rnd">
              <a:noFill/>
              <a:round/>
            </a:ln>
            <a:effectLst/>
          </c:spPr>
          <c:marker>
            <c:symbol val="circle"/>
            <c:size val="5"/>
            <c:spPr>
              <a:solidFill>
                <a:schemeClr val="accent1"/>
              </a:solidFill>
              <a:ln w="9525">
                <a:solidFill>
                  <a:schemeClr val="accent1"/>
                </a:solidFill>
              </a:ln>
              <a:effectLst/>
            </c:spPr>
          </c:marker>
          <c:xVal>
            <c:numRef>
              <c:f>'InP HEMT'!$E$2:$E$31</c:f>
              <c:numCache>
                <c:formatCode>General</c:formatCode>
                <c:ptCount val="30"/>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4">
                  <c:v>300</c:v>
                </c:pt>
                <c:pt idx="15">
                  <c:v>89</c:v>
                </c:pt>
                <c:pt idx="16">
                  <c:v>85.5</c:v>
                </c:pt>
                <c:pt idx="17">
                  <c:v>94</c:v>
                </c:pt>
                <c:pt idx="19">
                  <c:v>83</c:v>
                </c:pt>
                <c:pt idx="20">
                  <c:v>87.5</c:v>
                </c:pt>
                <c:pt idx="21">
                  <c:v>83.5</c:v>
                </c:pt>
                <c:pt idx="22">
                  <c:v>83.5</c:v>
                </c:pt>
                <c:pt idx="23">
                  <c:v>90</c:v>
                </c:pt>
                <c:pt idx="24">
                  <c:v>94</c:v>
                </c:pt>
                <c:pt idx="25">
                  <c:v>96</c:v>
                </c:pt>
              </c:numCache>
            </c:numRef>
          </c:xVal>
          <c:yVal>
            <c:numRef>
              <c:f>'InP HEMT'!$AI$2:$AI$31</c:f>
              <c:numCache>
                <c:formatCode>General</c:formatCode>
                <c:ptCount val="30"/>
                <c:pt idx="3" formatCode="0.00">
                  <c:v>0.80624999999999991</c:v>
                </c:pt>
                <c:pt idx="8" formatCode="0.00">
                  <c:v>0.51749999999999996</c:v>
                </c:pt>
                <c:pt idx="11" formatCode="0.00">
                  <c:v>0.24562500000000001</c:v>
                </c:pt>
                <c:pt idx="14">
                  <c:v>1.2800000000000002</c:v>
                </c:pt>
                <c:pt idx="15" formatCode="0.00">
                  <c:v>0.41250000000000003</c:v>
                </c:pt>
                <c:pt idx="16">
                  <c:v>3.6399999999999997</c:v>
                </c:pt>
                <c:pt idx="17">
                  <c:v>3</c:v>
                </c:pt>
                <c:pt idx="19">
                  <c:v>3</c:v>
                </c:pt>
                <c:pt idx="20">
                  <c:v>3</c:v>
                </c:pt>
                <c:pt idx="21">
                  <c:v>3</c:v>
                </c:pt>
                <c:pt idx="22">
                  <c:v>3</c:v>
                </c:pt>
                <c:pt idx="23">
                  <c:v>1.7</c:v>
                </c:pt>
                <c:pt idx="24">
                  <c:v>1.7</c:v>
                </c:pt>
                <c:pt idx="25">
                  <c:v>5.44</c:v>
                </c:pt>
              </c:numCache>
            </c:numRef>
          </c:yVal>
          <c:smooth val="0"/>
          <c:extLst>
            <c:ext xmlns:c16="http://schemas.microsoft.com/office/drawing/2014/chart" uri="{C3380CC4-5D6E-409C-BE32-E72D297353CC}">
              <c16:uniqueId val="{00000000-43CA-4D8C-8A16-E4E223170E23}"/>
            </c:ext>
          </c:extLst>
        </c:ser>
        <c:dLbls>
          <c:showLegendKey val="0"/>
          <c:showVal val="0"/>
          <c:showCatName val="0"/>
          <c:showSerName val="0"/>
          <c:showPercent val="0"/>
          <c:showBubbleSize val="0"/>
        </c:dLbls>
        <c:axId val="7611631"/>
        <c:axId val="7610799"/>
      </c:scatterChart>
      <c:valAx>
        <c:axId val="761163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Size (mm2)</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mHEMT!$W$1</c:f>
              <c:strCache>
                <c:ptCount val="1"/>
                <c:pt idx="0">
                  <c:v>Gain/stage(dB)_mHEMT</c:v>
                </c:pt>
              </c:strCache>
            </c:strRef>
          </c:tx>
          <c:spPr>
            <a:ln w="19050" cap="rnd">
              <a:noFill/>
              <a:round/>
            </a:ln>
            <a:effectLst/>
          </c:spPr>
          <c:marker>
            <c:symbol val="circle"/>
            <c:size val="5"/>
            <c:spPr>
              <a:solidFill>
                <a:schemeClr val="accent1"/>
              </a:solidFill>
              <a:ln w="9525">
                <a:solidFill>
                  <a:schemeClr val="accent1"/>
                </a:solidFill>
              </a:ln>
              <a:effectLst/>
            </c:spPr>
          </c:marker>
          <c:xVal>
            <c:numRef>
              <c:f>mHEMT!$E$2:$E$61</c:f>
              <c:numCache>
                <c:formatCode>General</c:formatCode>
                <c:ptCount val="60"/>
                <c:pt idx="0">
                  <c:v>395</c:v>
                </c:pt>
                <c:pt idx="1">
                  <c:v>285</c:v>
                </c:pt>
                <c:pt idx="2">
                  <c:v>91.5</c:v>
                </c:pt>
                <c:pt idx="3">
                  <c:v>91.5</c:v>
                </c:pt>
                <c:pt idx="4">
                  <c:v>91.5</c:v>
                </c:pt>
                <c:pt idx="5">
                  <c:v>305</c:v>
                </c:pt>
                <c:pt idx="6">
                  <c:v>92.5</c:v>
                </c:pt>
                <c:pt idx="7">
                  <c:v>92.5</c:v>
                </c:pt>
                <c:pt idx="8">
                  <c:v>130.5</c:v>
                </c:pt>
                <c:pt idx="9">
                  <c:v>126</c:v>
                </c:pt>
                <c:pt idx="10">
                  <c:v>258</c:v>
                </c:pt>
                <c:pt idx="11">
                  <c:v>183</c:v>
                </c:pt>
                <c:pt idx="12">
                  <c:v>325</c:v>
                </c:pt>
                <c:pt idx="13">
                  <c:v>325</c:v>
                </c:pt>
                <c:pt idx="14">
                  <c:v>550</c:v>
                </c:pt>
                <c:pt idx="15">
                  <c:v>600</c:v>
                </c:pt>
                <c:pt idx="16">
                  <c:v>595.5</c:v>
                </c:pt>
                <c:pt idx="17">
                  <c:v>90</c:v>
                </c:pt>
                <c:pt idx="18">
                  <c:v>90</c:v>
                </c:pt>
                <c:pt idx="19">
                  <c:v>243</c:v>
                </c:pt>
                <c:pt idx="20">
                  <c:v>243</c:v>
                </c:pt>
                <c:pt idx="21">
                  <c:v>260</c:v>
                </c:pt>
                <c:pt idx="22">
                  <c:v>610</c:v>
                </c:pt>
                <c:pt idx="23">
                  <c:v>243</c:v>
                </c:pt>
                <c:pt idx="24">
                  <c:v>243</c:v>
                </c:pt>
                <c:pt idx="25">
                  <c:v>135</c:v>
                </c:pt>
                <c:pt idx="26">
                  <c:v>460</c:v>
                </c:pt>
                <c:pt idx="27">
                  <c:v>320</c:v>
                </c:pt>
                <c:pt idx="28">
                  <c:v>320</c:v>
                </c:pt>
                <c:pt idx="29">
                  <c:v>130</c:v>
                </c:pt>
                <c:pt idx="30">
                  <c:v>141</c:v>
                </c:pt>
                <c:pt idx="31">
                  <c:v>280</c:v>
                </c:pt>
                <c:pt idx="32">
                  <c:v>94</c:v>
                </c:pt>
                <c:pt idx="33">
                  <c:v>94</c:v>
                </c:pt>
                <c:pt idx="34">
                  <c:v>210</c:v>
                </c:pt>
                <c:pt idx="35">
                  <c:v>210</c:v>
                </c:pt>
                <c:pt idx="36">
                  <c:v>193</c:v>
                </c:pt>
                <c:pt idx="37">
                  <c:v>300</c:v>
                </c:pt>
                <c:pt idx="38">
                  <c:v>196.5</c:v>
                </c:pt>
                <c:pt idx="40">
                  <c:v>80</c:v>
                </c:pt>
                <c:pt idx="41">
                  <c:v>79</c:v>
                </c:pt>
                <c:pt idx="42">
                  <c:v>165</c:v>
                </c:pt>
                <c:pt idx="43">
                  <c:v>165</c:v>
                </c:pt>
                <c:pt idx="44">
                  <c:v>165</c:v>
                </c:pt>
                <c:pt idx="45">
                  <c:v>183</c:v>
                </c:pt>
                <c:pt idx="46">
                  <c:v>183</c:v>
                </c:pt>
                <c:pt idx="47">
                  <c:v>183</c:v>
                </c:pt>
                <c:pt idx="48">
                  <c:v>183</c:v>
                </c:pt>
                <c:pt idx="49">
                  <c:v>155</c:v>
                </c:pt>
                <c:pt idx="50">
                  <c:v>140</c:v>
                </c:pt>
                <c:pt idx="51">
                  <c:v>140</c:v>
                </c:pt>
                <c:pt idx="52">
                  <c:v>82.5</c:v>
                </c:pt>
                <c:pt idx="53">
                  <c:v>180</c:v>
                </c:pt>
              </c:numCache>
            </c:numRef>
          </c:xVal>
          <c:yVal>
            <c:numRef>
              <c:f>mHEMT!$W$2:$W$61</c:f>
              <c:numCache>
                <c:formatCode>0.00</c:formatCode>
                <c:ptCount val="60"/>
                <c:pt idx="0">
                  <c:v>5.75</c:v>
                </c:pt>
                <c:pt idx="1">
                  <c:v>7.333333333333333</c:v>
                </c:pt>
                <c:pt idx="2">
                  <c:v>7.25</c:v>
                </c:pt>
                <c:pt idx="3">
                  <c:v>6.4375</c:v>
                </c:pt>
                <c:pt idx="4">
                  <c:v>6.4375</c:v>
                </c:pt>
                <c:pt idx="5">
                  <c:v>6.875</c:v>
                </c:pt>
                <c:pt idx="6">
                  <c:v>6.55</c:v>
                </c:pt>
                <c:pt idx="7">
                  <c:v>6.25</c:v>
                </c:pt>
                <c:pt idx="8">
                  <c:v>9.7666666666666675</c:v>
                </c:pt>
                <c:pt idx="9">
                  <c:v>7.166666666666667</c:v>
                </c:pt>
                <c:pt idx="10">
                  <c:v>8.4</c:v>
                </c:pt>
                <c:pt idx="11">
                  <c:v>4.9000000000000004</c:v>
                </c:pt>
                <c:pt idx="12">
                  <c:v>3.5</c:v>
                </c:pt>
                <c:pt idx="13">
                  <c:v>6.9</c:v>
                </c:pt>
                <c:pt idx="14">
                  <c:v>2.375</c:v>
                </c:pt>
                <c:pt idx="15">
                  <c:v>2.1166666666666667</c:v>
                </c:pt>
                <c:pt idx="16">
                  <c:v>2.0083333333333333</c:v>
                </c:pt>
                <c:pt idx="17">
                  <c:v>6.5999999999999988</c:v>
                </c:pt>
                <c:pt idx="18">
                  <c:v>5.5</c:v>
                </c:pt>
                <c:pt idx="19">
                  <c:v>7.375</c:v>
                </c:pt>
                <c:pt idx="20">
                  <c:v>7.3250000000000002</c:v>
                </c:pt>
                <c:pt idx="21">
                  <c:v>7.5</c:v>
                </c:pt>
                <c:pt idx="22">
                  <c:v>3.3833333333333333</c:v>
                </c:pt>
                <c:pt idx="23">
                  <c:v>6.5</c:v>
                </c:pt>
                <c:pt idx="24">
                  <c:v>8.4</c:v>
                </c:pt>
                <c:pt idx="25">
                  <c:v>5.4375</c:v>
                </c:pt>
                <c:pt idx="26">
                  <c:v>3.6375000000000002</c:v>
                </c:pt>
                <c:pt idx="27">
                  <c:v>5.8</c:v>
                </c:pt>
                <c:pt idx="28">
                  <c:v>4.3125</c:v>
                </c:pt>
                <c:pt idx="29">
                  <c:v>5.75</c:v>
                </c:pt>
                <c:pt idx="30">
                  <c:v>5</c:v>
                </c:pt>
                <c:pt idx="31">
                  <c:v>4.375</c:v>
                </c:pt>
                <c:pt idx="32">
                  <c:v>10</c:v>
                </c:pt>
                <c:pt idx="33">
                  <c:v>11</c:v>
                </c:pt>
                <c:pt idx="34">
                  <c:v>8.75</c:v>
                </c:pt>
                <c:pt idx="35">
                  <c:v>9</c:v>
                </c:pt>
                <c:pt idx="36">
                  <c:v>4.1875</c:v>
                </c:pt>
                <c:pt idx="37">
                  <c:v>6</c:v>
                </c:pt>
                <c:pt idx="38">
                  <c:v>4.625</c:v>
                </c:pt>
                <c:pt idx="40">
                  <c:v>8.3333333333333339</c:v>
                </c:pt>
                <c:pt idx="41">
                  <c:v>8.9666666666666668</c:v>
                </c:pt>
                <c:pt idx="42">
                  <c:v>5</c:v>
                </c:pt>
                <c:pt idx="43">
                  <c:v>6.25</c:v>
                </c:pt>
                <c:pt idx="44">
                  <c:v>5</c:v>
                </c:pt>
                <c:pt idx="45">
                  <c:v>4</c:v>
                </c:pt>
                <c:pt idx="46">
                  <c:v>4.25</c:v>
                </c:pt>
                <c:pt idx="47">
                  <c:v>4</c:v>
                </c:pt>
                <c:pt idx="48">
                  <c:v>3.8</c:v>
                </c:pt>
                <c:pt idx="50">
                  <c:v>6.875</c:v>
                </c:pt>
                <c:pt idx="51">
                  <c:v>5.875</c:v>
                </c:pt>
                <c:pt idx="52">
                  <c:v>4.75</c:v>
                </c:pt>
                <c:pt idx="53">
                  <c:v>3</c:v>
                </c:pt>
              </c:numCache>
            </c:numRef>
          </c:yVal>
          <c:smooth val="0"/>
          <c:extLst>
            <c:ext xmlns:c16="http://schemas.microsoft.com/office/drawing/2014/chart" uri="{C3380CC4-5D6E-409C-BE32-E72D297353CC}">
              <c16:uniqueId val="{00000001-08DB-4C95-8363-BEDFEA3ACD63}"/>
            </c:ext>
          </c:extLst>
        </c:ser>
        <c:dLbls>
          <c:showLegendKey val="0"/>
          <c:showVal val="0"/>
          <c:showCatName val="0"/>
          <c:showSerName val="0"/>
          <c:showPercent val="0"/>
          <c:showBubbleSize val="0"/>
        </c:dLbls>
        <c:axId val="1963761151"/>
        <c:axId val="14750015"/>
      </c:scatterChart>
      <c:valAx>
        <c:axId val="196376115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750015"/>
        <c:crosses val="autoZero"/>
        <c:crossBetween val="midCat"/>
        <c:minorUnit val="100"/>
      </c:valAx>
      <c:valAx>
        <c:axId val="14750015"/>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Gain/stage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6376115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mHEMT!$AC$1</c:f>
              <c:strCache>
                <c:ptCount val="1"/>
                <c:pt idx="0">
                  <c:v>NF(dB)_mHEMT</c:v>
                </c:pt>
              </c:strCache>
            </c:strRef>
          </c:tx>
          <c:spPr>
            <a:ln w="19050" cap="rnd">
              <a:noFill/>
              <a:round/>
            </a:ln>
            <a:effectLst/>
          </c:spPr>
          <c:marker>
            <c:symbol val="circle"/>
            <c:size val="5"/>
            <c:spPr>
              <a:solidFill>
                <a:schemeClr val="accent1"/>
              </a:solidFill>
              <a:ln w="9525">
                <a:solidFill>
                  <a:schemeClr val="accent1"/>
                </a:solidFill>
              </a:ln>
              <a:effectLst/>
            </c:spPr>
          </c:marker>
          <c:xVal>
            <c:numRef>
              <c:f>mHEMT!$E$2:$E$61</c:f>
              <c:numCache>
                <c:formatCode>General</c:formatCode>
                <c:ptCount val="60"/>
                <c:pt idx="0">
                  <c:v>395</c:v>
                </c:pt>
                <c:pt idx="1">
                  <c:v>285</c:v>
                </c:pt>
                <c:pt idx="2">
                  <c:v>91.5</c:v>
                </c:pt>
                <c:pt idx="3">
                  <c:v>91.5</c:v>
                </c:pt>
                <c:pt idx="4">
                  <c:v>91.5</c:v>
                </c:pt>
                <c:pt idx="5">
                  <c:v>305</c:v>
                </c:pt>
                <c:pt idx="6">
                  <c:v>92.5</c:v>
                </c:pt>
                <c:pt idx="7">
                  <c:v>92.5</c:v>
                </c:pt>
                <c:pt idx="8">
                  <c:v>130.5</c:v>
                </c:pt>
                <c:pt idx="9">
                  <c:v>126</c:v>
                </c:pt>
                <c:pt idx="10">
                  <c:v>258</c:v>
                </c:pt>
                <c:pt idx="11">
                  <c:v>183</c:v>
                </c:pt>
                <c:pt idx="12">
                  <c:v>325</c:v>
                </c:pt>
                <c:pt idx="13">
                  <c:v>325</c:v>
                </c:pt>
                <c:pt idx="14">
                  <c:v>550</c:v>
                </c:pt>
                <c:pt idx="15">
                  <c:v>600</c:v>
                </c:pt>
                <c:pt idx="16">
                  <c:v>595.5</c:v>
                </c:pt>
                <c:pt idx="17">
                  <c:v>90</c:v>
                </c:pt>
                <c:pt idx="18">
                  <c:v>90</c:v>
                </c:pt>
                <c:pt idx="19">
                  <c:v>243</c:v>
                </c:pt>
                <c:pt idx="20">
                  <c:v>243</c:v>
                </c:pt>
                <c:pt idx="21">
                  <c:v>260</c:v>
                </c:pt>
                <c:pt idx="22">
                  <c:v>610</c:v>
                </c:pt>
                <c:pt idx="23">
                  <c:v>243</c:v>
                </c:pt>
                <c:pt idx="24">
                  <c:v>243</c:v>
                </c:pt>
                <c:pt idx="25">
                  <c:v>135</c:v>
                </c:pt>
                <c:pt idx="26">
                  <c:v>460</c:v>
                </c:pt>
                <c:pt idx="27">
                  <c:v>320</c:v>
                </c:pt>
                <c:pt idx="28">
                  <c:v>320</c:v>
                </c:pt>
                <c:pt idx="29">
                  <c:v>130</c:v>
                </c:pt>
                <c:pt idx="30">
                  <c:v>141</c:v>
                </c:pt>
                <c:pt idx="31">
                  <c:v>280</c:v>
                </c:pt>
                <c:pt idx="32">
                  <c:v>94</c:v>
                </c:pt>
                <c:pt idx="33">
                  <c:v>94</c:v>
                </c:pt>
                <c:pt idx="34">
                  <c:v>210</c:v>
                </c:pt>
                <c:pt idx="35">
                  <c:v>210</c:v>
                </c:pt>
                <c:pt idx="36">
                  <c:v>193</c:v>
                </c:pt>
                <c:pt idx="37">
                  <c:v>300</c:v>
                </c:pt>
                <c:pt idx="38">
                  <c:v>196.5</c:v>
                </c:pt>
                <c:pt idx="40">
                  <c:v>80</c:v>
                </c:pt>
                <c:pt idx="41">
                  <c:v>79</c:v>
                </c:pt>
                <c:pt idx="42">
                  <c:v>165</c:v>
                </c:pt>
                <c:pt idx="43">
                  <c:v>165</c:v>
                </c:pt>
                <c:pt idx="44">
                  <c:v>165</c:v>
                </c:pt>
                <c:pt idx="45">
                  <c:v>183</c:v>
                </c:pt>
                <c:pt idx="46">
                  <c:v>183</c:v>
                </c:pt>
                <c:pt idx="47">
                  <c:v>183</c:v>
                </c:pt>
                <c:pt idx="48">
                  <c:v>183</c:v>
                </c:pt>
                <c:pt idx="49">
                  <c:v>155</c:v>
                </c:pt>
                <c:pt idx="50">
                  <c:v>140</c:v>
                </c:pt>
                <c:pt idx="51">
                  <c:v>140</c:v>
                </c:pt>
                <c:pt idx="52">
                  <c:v>82.5</c:v>
                </c:pt>
                <c:pt idx="53">
                  <c:v>180</c:v>
                </c:pt>
              </c:numCache>
            </c:numRef>
          </c:xVal>
          <c:yVal>
            <c:numRef>
              <c:f>mHEMT!$AC$2:$AC$61</c:f>
              <c:numCache>
                <c:formatCode>General</c:formatCode>
                <c:ptCount val="60"/>
                <c:pt idx="0">
                  <c:v>7.5</c:v>
                </c:pt>
                <c:pt idx="1">
                  <c:v>6.7</c:v>
                </c:pt>
                <c:pt idx="2">
                  <c:v>1.9</c:v>
                </c:pt>
                <c:pt idx="3">
                  <c:v>2.15</c:v>
                </c:pt>
                <c:pt idx="4">
                  <c:v>2.6</c:v>
                </c:pt>
                <c:pt idx="5">
                  <c:v>6.5</c:v>
                </c:pt>
                <c:pt idx="6">
                  <c:v>1.9</c:v>
                </c:pt>
                <c:pt idx="7">
                  <c:v>2.1</c:v>
                </c:pt>
                <c:pt idx="8">
                  <c:v>3.4</c:v>
                </c:pt>
                <c:pt idx="9">
                  <c:v>4.7</c:v>
                </c:pt>
                <c:pt idx="10">
                  <c:v>5</c:v>
                </c:pt>
                <c:pt idx="11">
                  <c:v>3.5</c:v>
                </c:pt>
                <c:pt idx="12">
                  <c:v>7.1</c:v>
                </c:pt>
                <c:pt idx="13">
                  <c:v>5.9</c:v>
                </c:pt>
                <c:pt idx="15">
                  <c:v>10.7</c:v>
                </c:pt>
                <c:pt idx="16">
                  <c:v>15</c:v>
                </c:pt>
                <c:pt idx="17">
                  <c:v>2.4500000000000002</c:v>
                </c:pt>
                <c:pt idx="18">
                  <c:v>3.05</c:v>
                </c:pt>
                <c:pt idx="19">
                  <c:v>5.0999999999999996</c:v>
                </c:pt>
                <c:pt idx="20">
                  <c:v>5.6</c:v>
                </c:pt>
                <c:pt idx="21">
                  <c:v>6.1</c:v>
                </c:pt>
                <c:pt idx="23">
                  <c:v>6</c:v>
                </c:pt>
                <c:pt idx="24">
                  <c:v>6.1</c:v>
                </c:pt>
                <c:pt idx="25">
                  <c:v>4</c:v>
                </c:pt>
                <c:pt idx="26">
                  <c:v>9.6999999999999993</c:v>
                </c:pt>
                <c:pt idx="28">
                  <c:v>7.3</c:v>
                </c:pt>
                <c:pt idx="29">
                  <c:v>3.95</c:v>
                </c:pt>
                <c:pt idx="30">
                  <c:v>4.1500000000000004</c:v>
                </c:pt>
                <c:pt idx="31">
                  <c:v>7.5</c:v>
                </c:pt>
                <c:pt idx="32">
                  <c:v>1.9</c:v>
                </c:pt>
                <c:pt idx="33">
                  <c:v>2.5</c:v>
                </c:pt>
                <c:pt idx="34">
                  <c:v>4.8</c:v>
                </c:pt>
                <c:pt idx="35">
                  <c:v>7.4</c:v>
                </c:pt>
                <c:pt idx="36">
                  <c:v>4.8</c:v>
                </c:pt>
                <c:pt idx="37">
                  <c:v>7.2</c:v>
                </c:pt>
                <c:pt idx="38">
                  <c:v>9.4</c:v>
                </c:pt>
                <c:pt idx="40">
                  <c:v>1.9</c:v>
                </c:pt>
                <c:pt idx="41">
                  <c:v>2.2999999999999998</c:v>
                </c:pt>
                <c:pt idx="42">
                  <c:v>4.4000000000000004</c:v>
                </c:pt>
                <c:pt idx="43">
                  <c:v>5.2</c:v>
                </c:pt>
                <c:pt idx="44">
                  <c:v>7</c:v>
                </c:pt>
                <c:pt idx="45">
                  <c:v>7.4</c:v>
                </c:pt>
                <c:pt idx="46">
                  <c:v>6.5</c:v>
                </c:pt>
                <c:pt idx="47">
                  <c:v>6.7</c:v>
                </c:pt>
                <c:pt idx="48">
                  <c:v>7.1</c:v>
                </c:pt>
                <c:pt idx="49">
                  <c:v>3.75</c:v>
                </c:pt>
                <c:pt idx="50">
                  <c:v>5.5</c:v>
                </c:pt>
                <c:pt idx="51">
                  <c:v>6.5</c:v>
                </c:pt>
                <c:pt idx="52">
                  <c:v>2.5</c:v>
                </c:pt>
                <c:pt idx="53">
                  <c:v>5</c:v>
                </c:pt>
              </c:numCache>
            </c:numRef>
          </c:yVal>
          <c:smooth val="0"/>
          <c:extLst>
            <c:ext xmlns:c16="http://schemas.microsoft.com/office/drawing/2014/chart" uri="{C3380CC4-5D6E-409C-BE32-E72D297353CC}">
              <c16:uniqueId val="{00000001-E8DE-4E2C-9D97-679DC5C37F91}"/>
            </c:ext>
          </c:extLst>
        </c:ser>
        <c:dLbls>
          <c:showLegendKey val="0"/>
          <c:showVal val="0"/>
          <c:showCatName val="0"/>
          <c:showSerName val="0"/>
          <c:showPercent val="0"/>
          <c:showBubbleSize val="0"/>
        </c:dLbls>
        <c:axId val="7611631"/>
        <c:axId val="7610799"/>
      </c:scatterChart>
      <c:valAx>
        <c:axId val="7611631"/>
        <c:scaling>
          <c:orientation val="minMax"/>
          <c:max val="1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a:t>
                </a:r>
                <a:r>
                  <a:rPr lang="en-US" altLang="ja-JP" baseline="0"/>
                  <a:t>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NF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mHEMT!$J$1</c:f>
              <c:strCache>
                <c:ptCount val="1"/>
                <c:pt idx="0">
                  <c:v>Ft(GHz)</c:v>
                </c:pt>
              </c:strCache>
            </c:strRef>
          </c:tx>
          <c:spPr>
            <a:ln w="19050" cap="rnd">
              <a:noFill/>
              <a:round/>
            </a:ln>
            <a:effectLst/>
          </c:spPr>
          <c:marker>
            <c:symbol val="circle"/>
            <c:size val="5"/>
            <c:spPr>
              <a:solidFill>
                <a:schemeClr val="accent1"/>
              </a:solidFill>
              <a:ln w="9525">
                <a:solidFill>
                  <a:schemeClr val="accent1"/>
                </a:solidFill>
              </a:ln>
              <a:effectLst/>
            </c:spPr>
          </c:marker>
          <c:xVal>
            <c:numRef>
              <c:f>mHEMT!$F$2:$F$61</c:f>
              <c:numCache>
                <c:formatCode>General</c:formatCode>
                <c:ptCount val="60"/>
                <c:pt idx="0">
                  <c:v>3.5000000000000003E-2</c:v>
                </c:pt>
                <c:pt idx="1">
                  <c:v>3.5000000000000003E-2</c:v>
                </c:pt>
                <c:pt idx="2">
                  <c:v>0.05</c:v>
                </c:pt>
                <c:pt idx="3">
                  <c:v>0.05</c:v>
                </c:pt>
                <c:pt idx="4">
                  <c:v>0.05</c:v>
                </c:pt>
                <c:pt idx="5">
                  <c:v>3.5000000000000003E-2</c:v>
                </c:pt>
                <c:pt idx="6">
                  <c:v>3.5000000000000003E-2</c:v>
                </c:pt>
                <c:pt idx="7">
                  <c:v>0.05</c:v>
                </c:pt>
                <c:pt idx="8">
                  <c:v>0.05</c:v>
                </c:pt>
                <c:pt idx="9">
                  <c:v>0.1</c:v>
                </c:pt>
                <c:pt idx="10">
                  <c:v>3.5000000000000003E-2</c:v>
                </c:pt>
                <c:pt idx="11">
                  <c:v>0.05</c:v>
                </c:pt>
                <c:pt idx="12">
                  <c:v>3.5000000000000003E-2</c:v>
                </c:pt>
                <c:pt idx="13">
                  <c:v>3.5000000000000003E-2</c:v>
                </c:pt>
                <c:pt idx="14">
                  <c:v>0.02</c:v>
                </c:pt>
                <c:pt idx="15">
                  <c:v>0.02</c:v>
                </c:pt>
                <c:pt idx="16">
                  <c:v>0.02</c:v>
                </c:pt>
                <c:pt idx="17">
                  <c:v>0.05</c:v>
                </c:pt>
                <c:pt idx="18">
                  <c:v>0.05</c:v>
                </c:pt>
                <c:pt idx="19">
                  <c:v>0.05</c:v>
                </c:pt>
                <c:pt idx="20">
                  <c:v>0.05</c:v>
                </c:pt>
                <c:pt idx="21">
                  <c:v>3.5000000000000003E-2</c:v>
                </c:pt>
                <c:pt idx="22">
                  <c:v>3.5000000000000003E-2</c:v>
                </c:pt>
                <c:pt idx="23">
                  <c:v>0.05</c:v>
                </c:pt>
                <c:pt idx="24">
                  <c:v>3.5000000000000003E-2</c:v>
                </c:pt>
                <c:pt idx="25">
                  <c:v>0.02</c:v>
                </c:pt>
                <c:pt idx="26">
                  <c:v>3.5000000000000003E-2</c:v>
                </c:pt>
                <c:pt idx="27">
                  <c:v>3.5000000000000003E-2</c:v>
                </c:pt>
                <c:pt idx="28">
                  <c:v>0.05</c:v>
                </c:pt>
                <c:pt idx="29">
                  <c:v>0.1</c:v>
                </c:pt>
                <c:pt idx="30">
                  <c:v>0.05</c:v>
                </c:pt>
                <c:pt idx="31">
                  <c:v>0.05</c:v>
                </c:pt>
                <c:pt idx="32">
                  <c:v>0.05</c:v>
                </c:pt>
                <c:pt idx="33">
                  <c:v>0.1</c:v>
                </c:pt>
                <c:pt idx="34">
                  <c:v>0.05</c:v>
                </c:pt>
                <c:pt idx="35">
                  <c:v>0.1</c:v>
                </c:pt>
                <c:pt idx="36">
                  <c:v>0.05</c:v>
                </c:pt>
                <c:pt idx="37">
                  <c:v>3.5000000000000003E-2</c:v>
                </c:pt>
                <c:pt idx="38">
                  <c:v>0.1</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0.1</c:v>
                </c:pt>
                <c:pt idx="53">
                  <c:v>0.1</c:v>
                </c:pt>
              </c:numCache>
            </c:numRef>
          </c:xVal>
          <c:yVal>
            <c:numRef>
              <c:f>mHEMT!$J$2:$J$61</c:f>
              <c:numCache>
                <c:formatCode>General</c:formatCode>
                <c:ptCount val="60"/>
                <c:pt idx="0">
                  <c:v>500</c:v>
                </c:pt>
                <c:pt idx="1">
                  <c:v>550</c:v>
                </c:pt>
                <c:pt idx="5">
                  <c:v>515</c:v>
                </c:pt>
                <c:pt idx="6">
                  <c:v>515</c:v>
                </c:pt>
                <c:pt idx="7">
                  <c:v>380</c:v>
                </c:pt>
                <c:pt idx="8">
                  <c:v>380</c:v>
                </c:pt>
                <c:pt idx="9">
                  <c:v>220</c:v>
                </c:pt>
                <c:pt idx="10">
                  <c:v>550</c:v>
                </c:pt>
                <c:pt idx="11">
                  <c:v>370</c:v>
                </c:pt>
                <c:pt idx="12">
                  <c:v>515</c:v>
                </c:pt>
                <c:pt idx="13">
                  <c:v>515</c:v>
                </c:pt>
                <c:pt idx="15">
                  <c:v>660</c:v>
                </c:pt>
                <c:pt idx="16">
                  <c:v>660</c:v>
                </c:pt>
                <c:pt idx="17">
                  <c:v>375</c:v>
                </c:pt>
                <c:pt idx="18">
                  <c:v>375</c:v>
                </c:pt>
                <c:pt idx="19">
                  <c:v>370</c:v>
                </c:pt>
                <c:pt idx="20">
                  <c:v>370</c:v>
                </c:pt>
                <c:pt idx="21">
                  <c:v>515</c:v>
                </c:pt>
                <c:pt idx="22">
                  <c:v>515</c:v>
                </c:pt>
                <c:pt idx="23">
                  <c:v>380</c:v>
                </c:pt>
                <c:pt idx="24">
                  <c:v>515</c:v>
                </c:pt>
                <c:pt idx="25">
                  <c:v>660</c:v>
                </c:pt>
                <c:pt idx="26">
                  <c:v>515</c:v>
                </c:pt>
                <c:pt idx="27">
                  <c:v>515</c:v>
                </c:pt>
                <c:pt idx="28">
                  <c:v>380</c:v>
                </c:pt>
                <c:pt idx="31">
                  <c:v>400</c:v>
                </c:pt>
                <c:pt idx="32">
                  <c:v>375</c:v>
                </c:pt>
                <c:pt idx="33">
                  <c:v>220</c:v>
                </c:pt>
                <c:pt idx="34">
                  <c:v>375</c:v>
                </c:pt>
                <c:pt idx="35">
                  <c:v>220</c:v>
                </c:pt>
                <c:pt idx="36">
                  <c:v>400</c:v>
                </c:pt>
                <c:pt idx="37">
                  <c:v>515</c:v>
                </c:pt>
                <c:pt idx="40">
                  <c:v>250</c:v>
                </c:pt>
                <c:pt idx="41">
                  <c:v>250</c:v>
                </c:pt>
                <c:pt idx="42">
                  <c:v>370</c:v>
                </c:pt>
                <c:pt idx="43">
                  <c:v>370</c:v>
                </c:pt>
                <c:pt idx="44">
                  <c:v>370</c:v>
                </c:pt>
                <c:pt idx="45">
                  <c:v>370</c:v>
                </c:pt>
                <c:pt idx="46">
                  <c:v>370</c:v>
                </c:pt>
                <c:pt idx="47">
                  <c:v>370</c:v>
                </c:pt>
                <c:pt idx="48">
                  <c:v>370</c:v>
                </c:pt>
                <c:pt idx="50">
                  <c:v>400</c:v>
                </c:pt>
                <c:pt idx="51">
                  <c:v>400</c:v>
                </c:pt>
              </c:numCache>
            </c:numRef>
          </c:yVal>
          <c:smooth val="0"/>
          <c:extLst>
            <c:ext xmlns:c16="http://schemas.microsoft.com/office/drawing/2014/chart" uri="{C3380CC4-5D6E-409C-BE32-E72D297353CC}">
              <c16:uniqueId val="{00000000-B903-4907-A194-8D4D25C92226}"/>
            </c:ext>
          </c:extLst>
        </c:ser>
        <c:dLbls>
          <c:showLegendKey val="0"/>
          <c:showVal val="0"/>
          <c:showCatName val="0"/>
          <c:showSerName val="0"/>
          <c:showPercent val="0"/>
          <c:showBubbleSize val="0"/>
        </c:dLbls>
        <c:axId val="1580592703"/>
        <c:axId val="1580593119"/>
      </c:scatterChart>
      <c:valAx>
        <c:axId val="15805927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Lg (um)</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0593119"/>
        <c:crosses val="autoZero"/>
        <c:crossBetween val="midCat"/>
      </c:valAx>
      <c:valAx>
        <c:axId val="15805931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Ft</a:t>
                </a:r>
                <a:r>
                  <a:rPr lang="en-US" altLang="ja-JP" baseline="0"/>
                  <a:t> (GHz)</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0592703"/>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mHEMT!$AI$1</c:f>
              <c:strCache>
                <c:ptCount val="1"/>
                <c:pt idx="0">
                  <c:v>Size(mm2)</c:v>
                </c:pt>
              </c:strCache>
            </c:strRef>
          </c:tx>
          <c:spPr>
            <a:ln w="25400" cap="rnd">
              <a:noFill/>
              <a:round/>
            </a:ln>
            <a:effectLst/>
          </c:spPr>
          <c:marker>
            <c:symbol val="circle"/>
            <c:size val="5"/>
            <c:spPr>
              <a:solidFill>
                <a:schemeClr val="accent1"/>
              </a:solidFill>
              <a:ln w="9525">
                <a:solidFill>
                  <a:schemeClr val="accent1"/>
                </a:solidFill>
              </a:ln>
              <a:effectLst/>
            </c:spPr>
          </c:marker>
          <c:xVal>
            <c:numRef>
              <c:f>mHEMT!$E$2:$E$61</c:f>
              <c:numCache>
                <c:formatCode>General</c:formatCode>
                <c:ptCount val="60"/>
                <c:pt idx="0">
                  <c:v>395</c:v>
                </c:pt>
                <c:pt idx="1">
                  <c:v>285</c:v>
                </c:pt>
                <c:pt idx="2">
                  <c:v>91.5</c:v>
                </c:pt>
                <c:pt idx="3">
                  <c:v>91.5</c:v>
                </c:pt>
                <c:pt idx="4">
                  <c:v>91.5</c:v>
                </c:pt>
                <c:pt idx="5">
                  <c:v>305</c:v>
                </c:pt>
                <c:pt idx="6">
                  <c:v>92.5</c:v>
                </c:pt>
                <c:pt idx="7">
                  <c:v>92.5</c:v>
                </c:pt>
                <c:pt idx="8">
                  <c:v>130.5</c:v>
                </c:pt>
                <c:pt idx="9">
                  <c:v>126</c:v>
                </c:pt>
                <c:pt idx="10">
                  <c:v>258</c:v>
                </c:pt>
                <c:pt idx="11">
                  <c:v>183</c:v>
                </c:pt>
                <c:pt idx="12">
                  <c:v>325</c:v>
                </c:pt>
                <c:pt idx="13">
                  <c:v>325</c:v>
                </c:pt>
                <c:pt idx="14">
                  <c:v>550</c:v>
                </c:pt>
                <c:pt idx="15">
                  <c:v>600</c:v>
                </c:pt>
                <c:pt idx="16">
                  <c:v>595.5</c:v>
                </c:pt>
                <c:pt idx="17">
                  <c:v>90</c:v>
                </c:pt>
                <c:pt idx="18">
                  <c:v>90</c:v>
                </c:pt>
                <c:pt idx="19">
                  <c:v>243</c:v>
                </c:pt>
                <c:pt idx="20">
                  <c:v>243</c:v>
                </c:pt>
                <c:pt idx="21">
                  <c:v>260</c:v>
                </c:pt>
                <c:pt idx="22">
                  <c:v>610</c:v>
                </c:pt>
                <c:pt idx="23">
                  <c:v>243</c:v>
                </c:pt>
                <c:pt idx="24">
                  <c:v>243</c:v>
                </c:pt>
                <c:pt idx="25">
                  <c:v>135</c:v>
                </c:pt>
                <c:pt idx="26">
                  <c:v>460</c:v>
                </c:pt>
                <c:pt idx="27">
                  <c:v>320</c:v>
                </c:pt>
                <c:pt idx="28">
                  <c:v>320</c:v>
                </c:pt>
                <c:pt idx="29">
                  <c:v>130</c:v>
                </c:pt>
                <c:pt idx="30">
                  <c:v>141</c:v>
                </c:pt>
                <c:pt idx="31">
                  <c:v>280</c:v>
                </c:pt>
                <c:pt idx="32">
                  <c:v>94</c:v>
                </c:pt>
                <c:pt idx="33">
                  <c:v>94</c:v>
                </c:pt>
                <c:pt idx="34">
                  <c:v>210</c:v>
                </c:pt>
                <c:pt idx="35">
                  <c:v>210</c:v>
                </c:pt>
                <c:pt idx="36">
                  <c:v>193</c:v>
                </c:pt>
                <c:pt idx="37">
                  <c:v>300</c:v>
                </c:pt>
                <c:pt idx="38">
                  <c:v>196.5</c:v>
                </c:pt>
                <c:pt idx="40">
                  <c:v>80</c:v>
                </c:pt>
                <c:pt idx="41">
                  <c:v>79</c:v>
                </c:pt>
                <c:pt idx="42">
                  <c:v>165</c:v>
                </c:pt>
                <c:pt idx="43">
                  <c:v>165</c:v>
                </c:pt>
                <c:pt idx="44">
                  <c:v>165</c:v>
                </c:pt>
                <c:pt idx="45">
                  <c:v>183</c:v>
                </c:pt>
                <c:pt idx="46">
                  <c:v>183</c:v>
                </c:pt>
                <c:pt idx="47">
                  <c:v>183</c:v>
                </c:pt>
                <c:pt idx="48">
                  <c:v>183</c:v>
                </c:pt>
                <c:pt idx="49">
                  <c:v>155</c:v>
                </c:pt>
                <c:pt idx="50">
                  <c:v>140</c:v>
                </c:pt>
                <c:pt idx="51">
                  <c:v>140</c:v>
                </c:pt>
                <c:pt idx="52">
                  <c:v>82.5</c:v>
                </c:pt>
                <c:pt idx="53">
                  <c:v>180</c:v>
                </c:pt>
              </c:numCache>
            </c:numRef>
          </c:xVal>
          <c:yVal>
            <c:numRef>
              <c:f>mHEMT!$AI$2:$AI$61</c:f>
              <c:numCache>
                <c:formatCode>General</c:formatCode>
                <c:ptCount val="60"/>
                <c:pt idx="0">
                  <c:v>2.0625</c:v>
                </c:pt>
                <c:pt idx="1">
                  <c:v>0.75</c:v>
                </c:pt>
                <c:pt idx="2">
                  <c:v>1.125</c:v>
                </c:pt>
                <c:pt idx="3">
                  <c:v>1.125</c:v>
                </c:pt>
                <c:pt idx="4">
                  <c:v>2.5</c:v>
                </c:pt>
                <c:pt idx="5">
                  <c:v>1.2</c:v>
                </c:pt>
                <c:pt idx="6">
                  <c:v>1.5</c:v>
                </c:pt>
                <c:pt idx="7">
                  <c:v>1.5</c:v>
                </c:pt>
                <c:pt idx="8">
                  <c:v>1.5</c:v>
                </c:pt>
                <c:pt idx="9">
                  <c:v>1.5</c:v>
                </c:pt>
                <c:pt idx="10">
                  <c:v>1.22</c:v>
                </c:pt>
                <c:pt idx="11">
                  <c:v>2</c:v>
                </c:pt>
                <c:pt idx="12">
                  <c:v>0.625</c:v>
                </c:pt>
                <c:pt idx="13">
                  <c:v>0.625</c:v>
                </c:pt>
                <c:pt idx="14">
                  <c:v>0.22780000000000003</c:v>
                </c:pt>
                <c:pt idx="15">
                  <c:v>0.14000000000000001</c:v>
                </c:pt>
                <c:pt idx="16">
                  <c:v>0.14000000000000001</c:v>
                </c:pt>
                <c:pt idx="17">
                  <c:v>1.75</c:v>
                </c:pt>
                <c:pt idx="19">
                  <c:v>0.75</c:v>
                </c:pt>
                <c:pt idx="20">
                  <c:v>1.22</c:v>
                </c:pt>
                <c:pt idx="21">
                  <c:v>0.15400000000000003</c:v>
                </c:pt>
                <c:pt idx="22">
                  <c:v>0.14000000000000001</c:v>
                </c:pt>
                <c:pt idx="23">
                  <c:v>1.22</c:v>
                </c:pt>
                <c:pt idx="24">
                  <c:v>0.75</c:v>
                </c:pt>
                <c:pt idx="25">
                  <c:v>2</c:v>
                </c:pt>
                <c:pt idx="26">
                  <c:v>0.2331</c:v>
                </c:pt>
                <c:pt idx="27">
                  <c:v>0.6</c:v>
                </c:pt>
                <c:pt idx="28">
                  <c:v>0.6</c:v>
                </c:pt>
                <c:pt idx="29">
                  <c:v>2</c:v>
                </c:pt>
                <c:pt idx="30">
                  <c:v>2</c:v>
                </c:pt>
                <c:pt idx="31">
                  <c:v>0.6</c:v>
                </c:pt>
                <c:pt idx="32">
                  <c:v>1.125</c:v>
                </c:pt>
                <c:pt idx="33">
                  <c:v>1.125</c:v>
                </c:pt>
                <c:pt idx="34">
                  <c:v>1.125</c:v>
                </c:pt>
                <c:pt idx="35">
                  <c:v>1.125</c:v>
                </c:pt>
                <c:pt idx="36">
                  <c:v>0.97500000000000009</c:v>
                </c:pt>
                <c:pt idx="37">
                  <c:v>0.35259999999999997</c:v>
                </c:pt>
                <c:pt idx="38">
                  <c:v>2.5</c:v>
                </c:pt>
                <c:pt idx="40">
                  <c:v>3.6159999999999997</c:v>
                </c:pt>
                <c:pt idx="41">
                  <c:v>3.6159999999999997</c:v>
                </c:pt>
                <c:pt idx="42">
                  <c:v>2.5</c:v>
                </c:pt>
                <c:pt idx="43">
                  <c:v>2.5</c:v>
                </c:pt>
                <c:pt idx="45">
                  <c:v>2.5</c:v>
                </c:pt>
                <c:pt idx="46">
                  <c:v>2.5</c:v>
                </c:pt>
                <c:pt idx="47">
                  <c:v>2.5</c:v>
                </c:pt>
                <c:pt idx="50">
                  <c:v>0.63</c:v>
                </c:pt>
                <c:pt idx="51">
                  <c:v>0.63</c:v>
                </c:pt>
                <c:pt idx="52">
                  <c:v>3.5</c:v>
                </c:pt>
                <c:pt idx="53">
                  <c:v>2.0625</c:v>
                </c:pt>
              </c:numCache>
            </c:numRef>
          </c:yVal>
          <c:smooth val="0"/>
          <c:extLst>
            <c:ext xmlns:c16="http://schemas.microsoft.com/office/drawing/2014/chart" uri="{C3380CC4-5D6E-409C-BE32-E72D297353CC}">
              <c16:uniqueId val="{00000000-D24C-4567-9DDD-545EF16F219B}"/>
            </c:ext>
          </c:extLst>
        </c:ser>
        <c:dLbls>
          <c:showLegendKey val="0"/>
          <c:showVal val="0"/>
          <c:showCatName val="0"/>
          <c:showSerName val="0"/>
          <c:showPercent val="0"/>
          <c:showBubbleSize val="0"/>
        </c:dLbls>
        <c:axId val="7611631"/>
        <c:axId val="7610799"/>
      </c:scatterChart>
      <c:valAx>
        <c:axId val="7611631"/>
        <c:scaling>
          <c:orientation val="minMax"/>
          <c:max val="1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a:t>
                </a:r>
                <a:r>
                  <a:rPr lang="en-US" altLang="ja-JP" baseline="0"/>
                  <a:t>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Size (mm2)</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HBT'!$W$1</c:f>
              <c:strCache>
                <c:ptCount val="1"/>
                <c:pt idx="0">
                  <c:v>Gain/stage(dB)_InP HBT</c:v>
                </c:pt>
              </c:strCache>
            </c:strRef>
          </c:tx>
          <c:spPr>
            <a:ln w="19050" cap="rnd">
              <a:noFill/>
              <a:round/>
            </a:ln>
            <a:effectLst/>
          </c:spPr>
          <c:marker>
            <c:symbol val="circle"/>
            <c:size val="5"/>
            <c:spPr>
              <a:solidFill>
                <a:schemeClr val="accent1"/>
              </a:solidFill>
              <a:ln w="9525">
                <a:solidFill>
                  <a:schemeClr val="accent1"/>
                </a:solidFill>
              </a:ln>
              <a:effectLst/>
            </c:spPr>
          </c:marker>
          <c:xVal>
            <c:numRef>
              <c:f>'InP HBT'!$E$2:$E$21</c:f>
              <c:numCache>
                <c:formatCode>General</c:formatCode>
                <c:ptCount val="20"/>
                <c:pt idx="0">
                  <c:v>130</c:v>
                </c:pt>
                <c:pt idx="1">
                  <c:v>206</c:v>
                </c:pt>
                <c:pt idx="2">
                  <c:v>206</c:v>
                </c:pt>
                <c:pt idx="3">
                  <c:v>155</c:v>
                </c:pt>
                <c:pt idx="4">
                  <c:v>90</c:v>
                </c:pt>
                <c:pt idx="5">
                  <c:v>128</c:v>
                </c:pt>
                <c:pt idx="6">
                  <c:v>130</c:v>
                </c:pt>
                <c:pt idx="7">
                  <c:v>180</c:v>
                </c:pt>
                <c:pt idx="8">
                  <c:v>577</c:v>
                </c:pt>
                <c:pt idx="9">
                  <c:v>94.5</c:v>
                </c:pt>
                <c:pt idx="10">
                  <c:v>95</c:v>
                </c:pt>
                <c:pt idx="11">
                  <c:v>300</c:v>
                </c:pt>
                <c:pt idx="12">
                  <c:v>195</c:v>
                </c:pt>
                <c:pt idx="13">
                  <c:v>240</c:v>
                </c:pt>
                <c:pt idx="14">
                  <c:v>75</c:v>
                </c:pt>
                <c:pt idx="15">
                  <c:v>75</c:v>
                </c:pt>
                <c:pt idx="16">
                  <c:v>125</c:v>
                </c:pt>
                <c:pt idx="17">
                  <c:v>265</c:v>
                </c:pt>
                <c:pt idx="18">
                  <c:v>387.5</c:v>
                </c:pt>
                <c:pt idx="19">
                  <c:v>300</c:v>
                </c:pt>
              </c:numCache>
            </c:numRef>
          </c:xVal>
          <c:yVal>
            <c:numRef>
              <c:f>'InP HBT'!$W$2:$W$21</c:f>
              <c:numCache>
                <c:formatCode>0.00</c:formatCode>
                <c:ptCount val="20"/>
                <c:pt idx="0">
                  <c:v>3.8333333333333335</c:v>
                </c:pt>
                <c:pt idx="1">
                  <c:v>2.9612499999999997</c:v>
                </c:pt>
                <c:pt idx="2">
                  <c:v>6.125</c:v>
                </c:pt>
                <c:pt idx="3">
                  <c:v>6.5</c:v>
                </c:pt>
                <c:pt idx="4">
                  <c:v>6.4</c:v>
                </c:pt>
                <c:pt idx="5">
                  <c:v>7.666666666666667</c:v>
                </c:pt>
                <c:pt idx="7">
                  <c:v>7.9749999999999996</c:v>
                </c:pt>
                <c:pt idx="9">
                  <c:v>9.75</c:v>
                </c:pt>
                <c:pt idx="10">
                  <c:v>6.4</c:v>
                </c:pt>
                <c:pt idx="11">
                  <c:v>4.9000000000000004</c:v>
                </c:pt>
                <c:pt idx="12">
                  <c:v>3.4</c:v>
                </c:pt>
                <c:pt idx="13">
                  <c:v>2.9</c:v>
                </c:pt>
                <c:pt idx="14">
                  <c:v>4.2666666666666666</c:v>
                </c:pt>
                <c:pt idx="15">
                  <c:v>7.5</c:v>
                </c:pt>
                <c:pt idx="16">
                  <c:v>8</c:v>
                </c:pt>
                <c:pt idx="17">
                  <c:v>3.4</c:v>
                </c:pt>
                <c:pt idx="18">
                  <c:v>2.4375</c:v>
                </c:pt>
                <c:pt idx="19">
                  <c:v>7.9</c:v>
                </c:pt>
              </c:numCache>
            </c:numRef>
          </c:yVal>
          <c:smooth val="0"/>
          <c:extLst>
            <c:ext xmlns:c16="http://schemas.microsoft.com/office/drawing/2014/chart" uri="{C3380CC4-5D6E-409C-BE32-E72D297353CC}">
              <c16:uniqueId val="{00000001-F899-4898-B477-C400AEA6297C}"/>
            </c:ext>
          </c:extLst>
        </c:ser>
        <c:dLbls>
          <c:showLegendKey val="0"/>
          <c:showVal val="0"/>
          <c:showCatName val="0"/>
          <c:showSerName val="0"/>
          <c:showPercent val="0"/>
          <c:showBubbleSize val="0"/>
        </c:dLbls>
        <c:axId val="1963761151"/>
        <c:axId val="14750015"/>
      </c:scatterChart>
      <c:valAx>
        <c:axId val="196376115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a:t>
                </a:r>
                <a:r>
                  <a:rPr lang="en-US" altLang="ja-JP" baseline="0"/>
                  <a:t>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750015"/>
        <c:crosses val="autoZero"/>
        <c:crossBetween val="midCat"/>
        <c:minorUnit val="100"/>
      </c:valAx>
      <c:valAx>
        <c:axId val="14750015"/>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Gain/stage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6376115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HBT'!$AC$1</c:f>
              <c:strCache>
                <c:ptCount val="1"/>
                <c:pt idx="0">
                  <c:v>NF(dB)_InP HBT</c:v>
                </c:pt>
              </c:strCache>
            </c:strRef>
          </c:tx>
          <c:spPr>
            <a:ln w="19050" cap="rnd">
              <a:noFill/>
              <a:round/>
            </a:ln>
            <a:effectLst/>
          </c:spPr>
          <c:marker>
            <c:symbol val="circle"/>
            <c:size val="5"/>
            <c:spPr>
              <a:solidFill>
                <a:schemeClr val="accent1"/>
              </a:solidFill>
              <a:ln w="9525">
                <a:solidFill>
                  <a:schemeClr val="accent1"/>
                </a:solidFill>
              </a:ln>
              <a:effectLst/>
            </c:spPr>
          </c:marker>
          <c:xVal>
            <c:numRef>
              <c:f>'InP HBT'!$E$2:$E$21</c:f>
              <c:numCache>
                <c:formatCode>General</c:formatCode>
                <c:ptCount val="20"/>
                <c:pt idx="0">
                  <c:v>130</c:v>
                </c:pt>
                <c:pt idx="1">
                  <c:v>206</c:v>
                </c:pt>
                <c:pt idx="2">
                  <c:v>206</c:v>
                </c:pt>
                <c:pt idx="3">
                  <c:v>155</c:v>
                </c:pt>
                <c:pt idx="4">
                  <c:v>90</c:v>
                </c:pt>
                <c:pt idx="5">
                  <c:v>128</c:v>
                </c:pt>
                <c:pt idx="6">
                  <c:v>130</c:v>
                </c:pt>
                <c:pt idx="7">
                  <c:v>180</c:v>
                </c:pt>
                <c:pt idx="8">
                  <c:v>577</c:v>
                </c:pt>
                <c:pt idx="9">
                  <c:v>94.5</c:v>
                </c:pt>
                <c:pt idx="10">
                  <c:v>95</c:v>
                </c:pt>
                <c:pt idx="11">
                  <c:v>300</c:v>
                </c:pt>
                <c:pt idx="12">
                  <c:v>195</c:v>
                </c:pt>
                <c:pt idx="13">
                  <c:v>240</c:v>
                </c:pt>
                <c:pt idx="14">
                  <c:v>75</c:v>
                </c:pt>
                <c:pt idx="15">
                  <c:v>75</c:v>
                </c:pt>
                <c:pt idx="16">
                  <c:v>125</c:v>
                </c:pt>
                <c:pt idx="17">
                  <c:v>265</c:v>
                </c:pt>
                <c:pt idx="18">
                  <c:v>387.5</c:v>
                </c:pt>
                <c:pt idx="19">
                  <c:v>300</c:v>
                </c:pt>
              </c:numCache>
            </c:numRef>
          </c:xVal>
          <c:yVal>
            <c:numRef>
              <c:f>'InP HBT'!$AC$2:$AC$21</c:f>
              <c:numCache>
                <c:formatCode>General</c:formatCode>
                <c:ptCount val="20"/>
                <c:pt idx="0">
                  <c:v>5</c:v>
                </c:pt>
                <c:pt idx="1">
                  <c:v>7.2</c:v>
                </c:pt>
                <c:pt idx="2">
                  <c:v>7.4</c:v>
                </c:pt>
                <c:pt idx="3">
                  <c:v>9.75</c:v>
                </c:pt>
                <c:pt idx="4">
                  <c:v>7</c:v>
                </c:pt>
                <c:pt idx="5">
                  <c:v>10.6</c:v>
                </c:pt>
                <c:pt idx="6">
                  <c:v>12.3</c:v>
                </c:pt>
                <c:pt idx="7">
                  <c:v>7.5</c:v>
                </c:pt>
                <c:pt idx="8">
                  <c:v>16</c:v>
                </c:pt>
                <c:pt idx="9">
                  <c:v>9.3000000000000007</c:v>
                </c:pt>
                <c:pt idx="10">
                  <c:v>6.8</c:v>
                </c:pt>
                <c:pt idx="11">
                  <c:v>14.15</c:v>
                </c:pt>
                <c:pt idx="12">
                  <c:v>9.6999999999999993</c:v>
                </c:pt>
                <c:pt idx="13">
                  <c:v>10.8</c:v>
                </c:pt>
                <c:pt idx="14">
                  <c:v>7.5</c:v>
                </c:pt>
                <c:pt idx="15">
                  <c:v>10</c:v>
                </c:pt>
                <c:pt idx="16">
                  <c:v>10</c:v>
                </c:pt>
                <c:pt idx="17">
                  <c:v>11.350000000000001</c:v>
                </c:pt>
                <c:pt idx="18">
                  <c:v>17.100000000000001</c:v>
                </c:pt>
                <c:pt idx="19">
                  <c:v>11.2</c:v>
                </c:pt>
              </c:numCache>
            </c:numRef>
          </c:yVal>
          <c:smooth val="0"/>
          <c:extLst>
            <c:ext xmlns:c16="http://schemas.microsoft.com/office/drawing/2014/chart" uri="{C3380CC4-5D6E-409C-BE32-E72D297353CC}">
              <c16:uniqueId val="{00000001-2643-4ACA-AD75-07C27F438039}"/>
            </c:ext>
          </c:extLst>
        </c:ser>
        <c:dLbls>
          <c:showLegendKey val="0"/>
          <c:showVal val="0"/>
          <c:showCatName val="0"/>
          <c:showSerName val="0"/>
          <c:showPercent val="0"/>
          <c:showBubbleSize val="0"/>
        </c:dLbls>
        <c:axId val="7611631"/>
        <c:axId val="7610799"/>
      </c:scatterChart>
      <c:valAx>
        <c:axId val="761163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NF</a:t>
                </a:r>
                <a:r>
                  <a:rPr lang="en-US" altLang="ja-JP" baseline="0"/>
                  <a:t>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HBT'!$J$1</c:f>
              <c:strCache>
                <c:ptCount val="1"/>
                <c:pt idx="0">
                  <c:v>Ft(GHz)</c:v>
                </c:pt>
              </c:strCache>
            </c:strRef>
          </c:tx>
          <c:spPr>
            <a:ln w="19050" cap="rnd">
              <a:noFill/>
              <a:round/>
            </a:ln>
            <a:effectLst/>
          </c:spPr>
          <c:marker>
            <c:symbol val="circle"/>
            <c:size val="5"/>
            <c:spPr>
              <a:solidFill>
                <a:schemeClr val="accent1"/>
              </a:solidFill>
              <a:ln w="9525">
                <a:solidFill>
                  <a:schemeClr val="accent1"/>
                </a:solidFill>
              </a:ln>
              <a:effectLst/>
            </c:spPr>
          </c:marker>
          <c:xVal>
            <c:numRef>
              <c:f>'InP HBT'!$F$2:$F$27</c:f>
              <c:numCache>
                <c:formatCode>General</c:formatCode>
                <c:ptCount val="26"/>
                <c:pt idx="0">
                  <c:v>0.25</c:v>
                </c:pt>
                <c:pt idx="1">
                  <c:v>0.25</c:v>
                </c:pt>
                <c:pt idx="2">
                  <c:v>0.25</c:v>
                </c:pt>
                <c:pt idx="3">
                  <c:v>0.5</c:v>
                </c:pt>
                <c:pt idx="4">
                  <c:v>0.8</c:v>
                </c:pt>
                <c:pt idx="5">
                  <c:v>0.25</c:v>
                </c:pt>
                <c:pt idx="6">
                  <c:v>0.5</c:v>
                </c:pt>
                <c:pt idx="7">
                  <c:v>0.25</c:v>
                </c:pt>
                <c:pt idx="8">
                  <c:v>0.13</c:v>
                </c:pt>
                <c:pt idx="9">
                  <c:v>0.13</c:v>
                </c:pt>
                <c:pt idx="10">
                  <c:v>0.13</c:v>
                </c:pt>
                <c:pt idx="11">
                  <c:v>0.25</c:v>
                </c:pt>
                <c:pt idx="12">
                  <c:v>0.25</c:v>
                </c:pt>
                <c:pt idx="13">
                  <c:v>0.25</c:v>
                </c:pt>
                <c:pt idx="14">
                  <c:v>0.25</c:v>
                </c:pt>
                <c:pt idx="15">
                  <c:v>0.25</c:v>
                </c:pt>
                <c:pt idx="16">
                  <c:v>0.25</c:v>
                </c:pt>
                <c:pt idx="17">
                  <c:v>0.25</c:v>
                </c:pt>
                <c:pt idx="18">
                  <c:v>0.125</c:v>
                </c:pt>
                <c:pt idx="19">
                  <c:v>0.25</c:v>
                </c:pt>
              </c:numCache>
            </c:numRef>
          </c:xVal>
          <c:yVal>
            <c:numRef>
              <c:f>'InP HBT'!$J$2:$J$27</c:f>
              <c:numCache>
                <c:formatCode>General</c:formatCode>
                <c:ptCount val="26"/>
                <c:pt idx="0">
                  <c:v>350</c:v>
                </c:pt>
                <c:pt idx="3">
                  <c:v>360</c:v>
                </c:pt>
                <c:pt idx="4">
                  <c:v>350</c:v>
                </c:pt>
                <c:pt idx="5">
                  <c:v>350</c:v>
                </c:pt>
                <c:pt idx="6">
                  <c:v>360</c:v>
                </c:pt>
                <c:pt idx="8">
                  <c:v>521</c:v>
                </c:pt>
                <c:pt idx="9">
                  <c:v>520</c:v>
                </c:pt>
                <c:pt idx="10">
                  <c:v>520</c:v>
                </c:pt>
                <c:pt idx="11">
                  <c:v>350</c:v>
                </c:pt>
                <c:pt idx="12">
                  <c:v>350</c:v>
                </c:pt>
                <c:pt idx="13">
                  <c:v>350</c:v>
                </c:pt>
                <c:pt idx="14">
                  <c:v>350</c:v>
                </c:pt>
                <c:pt idx="15">
                  <c:v>350</c:v>
                </c:pt>
                <c:pt idx="16">
                  <c:v>350</c:v>
                </c:pt>
                <c:pt idx="17">
                  <c:v>350</c:v>
                </c:pt>
                <c:pt idx="19">
                  <c:v>378</c:v>
                </c:pt>
              </c:numCache>
            </c:numRef>
          </c:yVal>
          <c:smooth val="0"/>
          <c:extLst>
            <c:ext xmlns:c16="http://schemas.microsoft.com/office/drawing/2014/chart" uri="{C3380CC4-5D6E-409C-BE32-E72D297353CC}">
              <c16:uniqueId val="{00000000-44D4-491D-A2C9-A3AF79637DAC}"/>
            </c:ext>
          </c:extLst>
        </c:ser>
        <c:dLbls>
          <c:showLegendKey val="0"/>
          <c:showVal val="0"/>
          <c:showCatName val="0"/>
          <c:showSerName val="0"/>
          <c:showPercent val="0"/>
          <c:showBubbleSize val="0"/>
        </c:dLbls>
        <c:axId val="1580577311"/>
        <c:axId val="1580577727"/>
      </c:scatterChart>
      <c:valAx>
        <c:axId val="158057731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Weu (um)</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0577727"/>
        <c:crosses val="autoZero"/>
        <c:crossBetween val="midCat"/>
      </c:valAx>
      <c:valAx>
        <c:axId val="15805777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Ft</a:t>
                </a:r>
                <a:r>
                  <a:rPr lang="en-US" altLang="ja-JP" baseline="0"/>
                  <a:t> (GHz)</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057731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NF</a:t>
            </a:r>
            <a:endParaRPr lang="ja-JP"/>
          </a:p>
        </c:rich>
      </c:tx>
      <c:overlay val="0"/>
      <c:spPr>
        <a:noFill/>
        <a:ln>
          <a:noFill/>
        </a:ln>
        <a:effectLst/>
      </c:spPr>
    </c:title>
    <c:autoTitleDeleted val="0"/>
    <c:plotArea>
      <c:layout/>
      <c:scatterChart>
        <c:scatterStyle val="lineMarker"/>
        <c:varyColors val="0"/>
        <c:ser>
          <c:idx val="1"/>
          <c:order val="0"/>
          <c:tx>
            <c:v>GaN HEMT</c:v>
          </c:tx>
          <c:spPr>
            <a:ln>
              <a:noFill/>
            </a:ln>
          </c:spPr>
          <c:marker>
            <c:symbol val="circle"/>
            <c:size val="7"/>
          </c:marker>
          <c:xVal>
            <c:numRef>
              <c:f>'GaN HEMT'!$E$2:$E$29</c:f>
              <c:numCache>
                <c:formatCode>General</c:formatCode>
                <c:ptCount val="28"/>
                <c:pt idx="0">
                  <c:v>105.5</c:v>
                </c:pt>
                <c:pt idx="1">
                  <c:v>88</c:v>
                </c:pt>
                <c:pt idx="2">
                  <c:v>104</c:v>
                </c:pt>
                <c:pt idx="3">
                  <c:v>104</c:v>
                </c:pt>
                <c:pt idx="4">
                  <c:v>104</c:v>
                </c:pt>
                <c:pt idx="5">
                  <c:v>84</c:v>
                </c:pt>
                <c:pt idx="7">
                  <c:v>82.5</c:v>
                </c:pt>
                <c:pt idx="8">
                  <c:v>140</c:v>
                </c:pt>
                <c:pt idx="10">
                  <c:v>87.5</c:v>
                </c:pt>
                <c:pt idx="11">
                  <c:v>90</c:v>
                </c:pt>
                <c:pt idx="13">
                  <c:v>79</c:v>
                </c:pt>
                <c:pt idx="14">
                  <c:v>93.5</c:v>
                </c:pt>
                <c:pt idx="16">
                  <c:v>87.5</c:v>
                </c:pt>
                <c:pt idx="17">
                  <c:v>90</c:v>
                </c:pt>
                <c:pt idx="19">
                  <c:v>80.75</c:v>
                </c:pt>
                <c:pt idx="20">
                  <c:v>84.25</c:v>
                </c:pt>
                <c:pt idx="22">
                  <c:v>73.75</c:v>
                </c:pt>
                <c:pt idx="23">
                  <c:v>80</c:v>
                </c:pt>
              </c:numCache>
            </c:numRef>
          </c:xVal>
          <c:yVal>
            <c:numRef>
              <c:f>'GaN HEMT'!$AC$2:$AC$29</c:f>
              <c:numCache>
                <c:formatCode>General</c:formatCode>
                <c:ptCount val="28"/>
                <c:pt idx="0">
                  <c:v>3.7</c:v>
                </c:pt>
                <c:pt idx="1">
                  <c:v>3.05</c:v>
                </c:pt>
                <c:pt idx="3">
                  <c:v>7.6</c:v>
                </c:pt>
                <c:pt idx="5">
                  <c:v>5.6</c:v>
                </c:pt>
                <c:pt idx="7">
                  <c:v>4</c:v>
                </c:pt>
                <c:pt idx="8">
                  <c:v>6</c:v>
                </c:pt>
                <c:pt idx="10">
                  <c:v>2.75</c:v>
                </c:pt>
                <c:pt idx="11">
                  <c:v>2.1</c:v>
                </c:pt>
                <c:pt idx="13">
                  <c:v>3.85</c:v>
                </c:pt>
                <c:pt idx="14">
                  <c:v>3.55</c:v>
                </c:pt>
                <c:pt idx="16">
                  <c:v>4.5</c:v>
                </c:pt>
                <c:pt idx="17">
                  <c:v>3.25</c:v>
                </c:pt>
                <c:pt idx="19">
                  <c:v>4.25</c:v>
                </c:pt>
                <c:pt idx="20">
                  <c:v>4.8499999999999996</c:v>
                </c:pt>
              </c:numCache>
            </c:numRef>
          </c:yVal>
          <c:smooth val="0"/>
          <c:extLst>
            <c:ext xmlns:c16="http://schemas.microsoft.com/office/drawing/2014/chart" uri="{C3380CC4-5D6E-409C-BE32-E72D297353CC}">
              <c16:uniqueId val="{0000000F-5ED0-45DB-9897-89E1E7BFBAC4}"/>
            </c:ext>
          </c:extLst>
        </c:ser>
        <c:ser>
          <c:idx val="2"/>
          <c:order val="1"/>
          <c:tx>
            <c:v>InP HEMT</c:v>
          </c:tx>
          <c:spPr>
            <a:ln w="19050" cap="rnd">
              <a:noFill/>
              <a:round/>
            </a:ln>
            <a:effectLst/>
          </c:spPr>
          <c:marker>
            <c:symbol val="triangle"/>
            <c:size val="8"/>
          </c:marker>
          <c:xVal>
            <c:numRef>
              <c:f>'InP HEMT'!$E$2:$E$31</c:f>
              <c:numCache>
                <c:formatCode>General</c:formatCode>
                <c:ptCount val="30"/>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4">
                  <c:v>300</c:v>
                </c:pt>
                <c:pt idx="15">
                  <c:v>89</c:v>
                </c:pt>
                <c:pt idx="16">
                  <c:v>85.5</c:v>
                </c:pt>
                <c:pt idx="17">
                  <c:v>94</c:v>
                </c:pt>
                <c:pt idx="19">
                  <c:v>83</c:v>
                </c:pt>
                <c:pt idx="20">
                  <c:v>87.5</c:v>
                </c:pt>
                <c:pt idx="21">
                  <c:v>83.5</c:v>
                </c:pt>
                <c:pt idx="22">
                  <c:v>83.5</c:v>
                </c:pt>
                <c:pt idx="23">
                  <c:v>90</c:v>
                </c:pt>
                <c:pt idx="24">
                  <c:v>94</c:v>
                </c:pt>
                <c:pt idx="25">
                  <c:v>96</c:v>
                </c:pt>
              </c:numCache>
            </c:numRef>
          </c:xVal>
          <c:yVal>
            <c:numRef>
              <c:f>'InP HEMT'!$AC$2:$AC$31</c:f>
              <c:numCache>
                <c:formatCode>General</c:formatCode>
                <c:ptCount val="30"/>
                <c:pt idx="0">
                  <c:v>4.05</c:v>
                </c:pt>
                <c:pt idx="1">
                  <c:v>12</c:v>
                </c:pt>
                <c:pt idx="3">
                  <c:v>9.6</c:v>
                </c:pt>
                <c:pt idx="4">
                  <c:v>9.6</c:v>
                </c:pt>
                <c:pt idx="6">
                  <c:v>12</c:v>
                </c:pt>
                <c:pt idx="7">
                  <c:v>12.2</c:v>
                </c:pt>
                <c:pt idx="8">
                  <c:v>6.15</c:v>
                </c:pt>
                <c:pt idx="10">
                  <c:v>7.5</c:v>
                </c:pt>
                <c:pt idx="11">
                  <c:v>13</c:v>
                </c:pt>
                <c:pt idx="12">
                  <c:v>2.5</c:v>
                </c:pt>
                <c:pt idx="14">
                  <c:v>9.8000000000000007</c:v>
                </c:pt>
                <c:pt idx="15">
                  <c:v>3.5</c:v>
                </c:pt>
                <c:pt idx="16">
                  <c:v>4</c:v>
                </c:pt>
                <c:pt idx="17">
                  <c:v>4.5</c:v>
                </c:pt>
                <c:pt idx="20">
                  <c:v>2.7</c:v>
                </c:pt>
                <c:pt idx="22">
                  <c:v>1.75</c:v>
                </c:pt>
                <c:pt idx="23">
                  <c:v>1.9</c:v>
                </c:pt>
                <c:pt idx="24">
                  <c:v>1.75</c:v>
                </c:pt>
              </c:numCache>
            </c:numRef>
          </c:yVal>
          <c:smooth val="0"/>
          <c:extLst>
            <c:ext xmlns:c16="http://schemas.microsoft.com/office/drawing/2014/chart" uri="{C3380CC4-5D6E-409C-BE32-E72D297353CC}">
              <c16:uniqueId val="{00000010-5ED0-45DB-9897-89E1E7BFBAC4}"/>
            </c:ext>
          </c:extLst>
        </c:ser>
        <c:ser>
          <c:idx val="3"/>
          <c:order val="2"/>
          <c:tx>
            <c:v>mHEMT</c:v>
          </c:tx>
          <c:spPr>
            <a:ln w="19050" cap="rnd">
              <a:noFill/>
              <a:round/>
            </a:ln>
            <a:effectLst/>
          </c:spPr>
          <c:marker>
            <c:symbol val="diamond"/>
            <c:size val="8"/>
          </c:marker>
          <c:xVal>
            <c:numRef>
              <c:f>mHEMT!$E$2:$E$61</c:f>
              <c:numCache>
                <c:formatCode>General</c:formatCode>
                <c:ptCount val="60"/>
                <c:pt idx="0">
                  <c:v>395</c:v>
                </c:pt>
                <c:pt idx="1">
                  <c:v>285</c:v>
                </c:pt>
                <c:pt idx="2">
                  <c:v>91.5</c:v>
                </c:pt>
                <c:pt idx="3">
                  <c:v>91.5</c:v>
                </c:pt>
                <c:pt idx="4">
                  <c:v>91.5</c:v>
                </c:pt>
                <c:pt idx="5">
                  <c:v>305</c:v>
                </c:pt>
                <c:pt idx="6">
                  <c:v>92.5</c:v>
                </c:pt>
                <c:pt idx="7">
                  <c:v>92.5</c:v>
                </c:pt>
                <c:pt idx="8">
                  <c:v>130.5</c:v>
                </c:pt>
                <c:pt idx="9">
                  <c:v>126</c:v>
                </c:pt>
                <c:pt idx="10">
                  <c:v>258</c:v>
                </c:pt>
                <c:pt idx="11">
                  <c:v>183</c:v>
                </c:pt>
                <c:pt idx="12">
                  <c:v>325</c:v>
                </c:pt>
                <c:pt idx="13">
                  <c:v>325</c:v>
                </c:pt>
                <c:pt idx="14">
                  <c:v>550</c:v>
                </c:pt>
                <c:pt idx="15">
                  <c:v>600</c:v>
                </c:pt>
                <c:pt idx="16">
                  <c:v>595.5</c:v>
                </c:pt>
                <c:pt idx="17">
                  <c:v>90</c:v>
                </c:pt>
                <c:pt idx="18">
                  <c:v>90</c:v>
                </c:pt>
                <c:pt idx="19">
                  <c:v>243</c:v>
                </c:pt>
                <c:pt idx="20">
                  <c:v>243</c:v>
                </c:pt>
                <c:pt idx="21">
                  <c:v>260</c:v>
                </c:pt>
                <c:pt idx="22">
                  <c:v>610</c:v>
                </c:pt>
                <c:pt idx="23">
                  <c:v>243</c:v>
                </c:pt>
                <c:pt idx="24">
                  <c:v>243</c:v>
                </c:pt>
                <c:pt idx="25">
                  <c:v>135</c:v>
                </c:pt>
                <c:pt idx="26">
                  <c:v>460</c:v>
                </c:pt>
                <c:pt idx="27">
                  <c:v>320</c:v>
                </c:pt>
                <c:pt idx="28">
                  <c:v>320</c:v>
                </c:pt>
                <c:pt idx="29">
                  <c:v>130</c:v>
                </c:pt>
                <c:pt idx="30">
                  <c:v>141</c:v>
                </c:pt>
                <c:pt idx="31">
                  <c:v>280</c:v>
                </c:pt>
                <c:pt idx="32">
                  <c:v>94</c:v>
                </c:pt>
                <c:pt idx="33">
                  <c:v>94</c:v>
                </c:pt>
                <c:pt idx="34">
                  <c:v>210</c:v>
                </c:pt>
                <c:pt idx="35">
                  <c:v>210</c:v>
                </c:pt>
                <c:pt idx="36">
                  <c:v>193</c:v>
                </c:pt>
                <c:pt idx="37">
                  <c:v>300</c:v>
                </c:pt>
                <c:pt idx="38">
                  <c:v>196.5</c:v>
                </c:pt>
                <c:pt idx="40">
                  <c:v>80</c:v>
                </c:pt>
                <c:pt idx="41">
                  <c:v>79</c:v>
                </c:pt>
                <c:pt idx="42">
                  <c:v>165</c:v>
                </c:pt>
                <c:pt idx="43">
                  <c:v>165</c:v>
                </c:pt>
                <c:pt idx="44">
                  <c:v>165</c:v>
                </c:pt>
                <c:pt idx="45">
                  <c:v>183</c:v>
                </c:pt>
                <c:pt idx="46">
                  <c:v>183</c:v>
                </c:pt>
                <c:pt idx="47">
                  <c:v>183</c:v>
                </c:pt>
                <c:pt idx="48">
                  <c:v>183</c:v>
                </c:pt>
                <c:pt idx="49">
                  <c:v>155</c:v>
                </c:pt>
                <c:pt idx="50">
                  <c:v>140</c:v>
                </c:pt>
                <c:pt idx="51">
                  <c:v>140</c:v>
                </c:pt>
                <c:pt idx="52">
                  <c:v>82.5</c:v>
                </c:pt>
                <c:pt idx="53">
                  <c:v>180</c:v>
                </c:pt>
              </c:numCache>
            </c:numRef>
          </c:xVal>
          <c:yVal>
            <c:numRef>
              <c:f>mHEMT!$AC$2:$AC$61</c:f>
              <c:numCache>
                <c:formatCode>General</c:formatCode>
                <c:ptCount val="60"/>
                <c:pt idx="0">
                  <c:v>7.5</c:v>
                </c:pt>
                <c:pt idx="1">
                  <c:v>6.7</c:v>
                </c:pt>
                <c:pt idx="2">
                  <c:v>1.9</c:v>
                </c:pt>
                <c:pt idx="3">
                  <c:v>2.15</c:v>
                </c:pt>
                <c:pt idx="4">
                  <c:v>2.6</c:v>
                </c:pt>
                <c:pt idx="5">
                  <c:v>6.5</c:v>
                </c:pt>
                <c:pt idx="6">
                  <c:v>1.9</c:v>
                </c:pt>
                <c:pt idx="7">
                  <c:v>2.1</c:v>
                </c:pt>
                <c:pt idx="8">
                  <c:v>3.4</c:v>
                </c:pt>
                <c:pt idx="9">
                  <c:v>4.7</c:v>
                </c:pt>
                <c:pt idx="10">
                  <c:v>5</c:v>
                </c:pt>
                <c:pt idx="11">
                  <c:v>3.5</c:v>
                </c:pt>
                <c:pt idx="12">
                  <c:v>7.1</c:v>
                </c:pt>
                <c:pt idx="13">
                  <c:v>5.9</c:v>
                </c:pt>
                <c:pt idx="15">
                  <c:v>10.7</c:v>
                </c:pt>
                <c:pt idx="16">
                  <c:v>15</c:v>
                </c:pt>
                <c:pt idx="17">
                  <c:v>2.4500000000000002</c:v>
                </c:pt>
                <c:pt idx="18">
                  <c:v>3.05</c:v>
                </c:pt>
                <c:pt idx="19">
                  <c:v>5.0999999999999996</c:v>
                </c:pt>
                <c:pt idx="20">
                  <c:v>5.6</c:v>
                </c:pt>
                <c:pt idx="21">
                  <c:v>6.1</c:v>
                </c:pt>
                <c:pt idx="23">
                  <c:v>6</c:v>
                </c:pt>
                <c:pt idx="24">
                  <c:v>6.1</c:v>
                </c:pt>
                <c:pt idx="25">
                  <c:v>4</c:v>
                </c:pt>
                <c:pt idx="26">
                  <c:v>9.6999999999999993</c:v>
                </c:pt>
                <c:pt idx="28">
                  <c:v>7.3</c:v>
                </c:pt>
                <c:pt idx="29">
                  <c:v>3.95</c:v>
                </c:pt>
                <c:pt idx="30">
                  <c:v>4.1500000000000004</c:v>
                </c:pt>
                <c:pt idx="31">
                  <c:v>7.5</c:v>
                </c:pt>
                <c:pt idx="32">
                  <c:v>1.9</c:v>
                </c:pt>
                <c:pt idx="33">
                  <c:v>2.5</c:v>
                </c:pt>
                <c:pt idx="34">
                  <c:v>4.8</c:v>
                </c:pt>
                <c:pt idx="35">
                  <c:v>7.4</c:v>
                </c:pt>
                <c:pt idx="36">
                  <c:v>4.8</c:v>
                </c:pt>
                <c:pt idx="37">
                  <c:v>7.2</c:v>
                </c:pt>
                <c:pt idx="38">
                  <c:v>9.4</c:v>
                </c:pt>
                <c:pt idx="40">
                  <c:v>1.9</c:v>
                </c:pt>
                <c:pt idx="41">
                  <c:v>2.2999999999999998</c:v>
                </c:pt>
                <c:pt idx="42">
                  <c:v>4.4000000000000004</c:v>
                </c:pt>
                <c:pt idx="43">
                  <c:v>5.2</c:v>
                </c:pt>
                <c:pt idx="44">
                  <c:v>7</c:v>
                </c:pt>
                <c:pt idx="45">
                  <c:v>7.4</c:v>
                </c:pt>
                <c:pt idx="46">
                  <c:v>6.5</c:v>
                </c:pt>
                <c:pt idx="47">
                  <c:v>6.7</c:v>
                </c:pt>
                <c:pt idx="48">
                  <c:v>7.1</c:v>
                </c:pt>
                <c:pt idx="49">
                  <c:v>3.75</c:v>
                </c:pt>
                <c:pt idx="50">
                  <c:v>5.5</c:v>
                </c:pt>
                <c:pt idx="51">
                  <c:v>6.5</c:v>
                </c:pt>
                <c:pt idx="52">
                  <c:v>2.5</c:v>
                </c:pt>
                <c:pt idx="53">
                  <c:v>5</c:v>
                </c:pt>
              </c:numCache>
            </c:numRef>
          </c:yVal>
          <c:smooth val="0"/>
          <c:extLst>
            <c:ext xmlns:c16="http://schemas.microsoft.com/office/drawing/2014/chart" uri="{C3380CC4-5D6E-409C-BE32-E72D297353CC}">
              <c16:uniqueId val="{00000011-5ED0-45DB-9897-89E1E7BFBAC4}"/>
            </c:ext>
          </c:extLst>
        </c:ser>
        <c:ser>
          <c:idx val="0"/>
          <c:order val="3"/>
          <c:tx>
            <c:v>InP HBT</c:v>
          </c:tx>
          <c:spPr>
            <a:ln w="19050" cap="rnd">
              <a:noFill/>
              <a:round/>
            </a:ln>
            <a:effectLst/>
          </c:spPr>
          <c:marker>
            <c:symbol val="square"/>
            <c:size val="7"/>
            <c:spPr>
              <a:solidFill>
                <a:schemeClr val="accent1"/>
              </a:solidFill>
              <a:ln w="9525">
                <a:solidFill>
                  <a:schemeClr val="accent1"/>
                </a:solidFill>
              </a:ln>
              <a:effectLst/>
            </c:spPr>
          </c:marker>
          <c:xVal>
            <c:numRef>
              <c:f>'InP HBT'!$E$2:$E$21</c:f>
              <c:numCache>
                <c:formatCode>General</c:formatCode>
                <c:ptCount val="20"/>
                <c:pt idx="0">
                  <c:v>130</c:v>
                </c:pt>
                <c:pt idx="1">
                  <c:v>206</c:v>
                </c:pt>
                <c:pt idx="2">
                  <c:v>206</c:v>
                </c:pt>
                <c:pt idx="3">
                  <c:v>155</c:v>
                </c:pt>
                <c:pt idx="4">
                  <c:v>90</c:v>
                </c:pt>
                <c:pt idx="5">
                  <c:v>128</c:v>
                </c:pt>
                <c:pt idx="6">
                  <c:v>130</c:v>
                </c:pt>
                <c:pt idx="7">
                  <c:v>180</c:v>
                </c:pt>
                <c:pt idx="8">
                  <c:v>577</c:v>
                </c:pt>
                <c:pt idx="9">
                  <c:v>94.5</c:v>
                </c:pt>
                <c:pt idx="10">
                  <c:v>95</c:v>
                </c:pt>
                <c:pt idx="11">
                  <c:v>300</c:v>
                </c:pt>
                <c:pt idx="12">
                  <c:v>195</c:v>
                </c:pt>
                <c:pt idx="13">
                  <c:v>240</c:v>
                </c:pt>
                <c:pt idx="14">
                  <c:v>75</c:v>
                </c:pt>
                <c:pt idx="15">
                  <c:v>75</c:v>
                </c:pt>
                <c:pt idx="16">
                  <c:v>125</c:v>
                </c:pt>
                <c:pt idx="17">
                  <c:v>265</c:v>
                </c:pt>
                <c:pt idx="18">
                  <c:v>387.5</c:v>
                </c:pt>
                <c:pt idx="19">
                  <c:v>300</c:v>
                </c:pt>
              </c:numCache>
            </c:numRef>
          </c:xVal>
          <c:yVal>
            <c:numRef>
              <c:f>'InP HBT'!$AC$2:$AC$21</c:f>
              <c:numCache>
                <c:formatCode>General</c:formatCode>
                <c:ptCount val="20"/>
                <c:pt idx="0">
                  <c:v>5</c:v>
                </c:pt>
                <c:pt idx="1">
                  <c:v>7.2</c:v>
                </c:pt>
                <c:pt idx="2">
                  <c:v>7.4</c:v>
                </c:pt>
                <c:pt idx="3">
                  <c:v>9.75</c:v>
                </c:pt>
                <c:pt idx="4">
                  <c:v>7</c:v>
                </c:pt>
                <c:pt idx="5">
                  <c:v>10.6</c:v>
                </c:pt>
                <c:pt idx="6">
                  <c:v>12.3</c:v>
                </c:pt>
                <c:pt idx="7">
                  <c:v>7.5</c:v>
                </c:pt>
                <c:pt idx="8">
                  <c:v>16</c:v>
                </c:pt>
                <c:pt idx="9">
                  <c:v>9.3000000000000007</c:v>
                </c:pt>
                <c:pt idx="10">
                  <c:v>6.8</c:v>
                </c:pt>
                <c:pt idx="11">
                  <c:v>14.15</c:v>
                </c:pt>
                <c:pt idx="12">
                  <c:v>9.6999999999999993</c:v>
                </c:pt>
                <c:pt idx="13">
                  <c:v>10.8</c:v>
                </c:pt>
                <c:pt idx="14">
                  <c:v>7.5</c:v>
                </c:pt>
                <c:pt idx="15">
                  <c:v>10</c:v>
                </c:pt>
                <c:pt idx="16">
                  <c:v>10</c:v>
                </c:pt>
                <c:pt idx="17">
                  <c:v>11.350000000000001</c:v>
                </c:pt>
                <c:pt idx="18">
                  <c:v>17.100000000000001</c:v>
                </c:pt>
                <c:pt idx="19">
                  <c:v>11.2</c:v>
                </c:pt>
              </c:numCache>
            </c:numRef>
          </c:yVal>
          <c:smooth val="0"/>
          <c:extLst>
            <c:ext xmlns:c16="http://schemas.microsoft.com/office/drawing/2014/chart" uri="{C3380CC4-5D6E-409C-BE32-E72D297353CC}">
              <c16:uniqueId val="{0000000E-5ED0-45DB-9897-89E1E7BFBAC4}"/>
            </c:ext>
          </c:extLst>
        </c:ser>
        <c:dLbls>
          <c:showLegendKey val="0"/>
          <c:showVal val="0"/>
          <c:showCatName val="0"/>
          <c:showSerName val="0"/>
          <c:showPercent val="0"/>
          <c:showBubbleSize val="0"/>
        </c:dLbls>
        <c:axId val="7611631"/>
        <c:axId val="7610799"/>
      </c:scatterChart>
      <c:valAx>
        <c:axId val="761163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vert="horz"/>
              <a:lstStyle/>
              <a:p>
                <a:pPr>
                  <a:defRPr/>
                </a:pPr>
                <a:r>
                  <a:rPr lang="en-US"/>
                  <a:t>Frequency (GHz)</a:t>
                </a:r>
                <a:endParaRPr lang="ja-JP"/>
              </a:p>
            </c:rich>
          </c:tx>
          <c:overlay val="0"/>
          <c:spPr>
            <a:noFill/>
            <a:ln>
              <a:noFill/>
            </a:ln>
            <a:effectLst/>
          </c:spPr>
        </c:title>
        <c:numFmt formatCode="General" sourceLinked="1"/>
        <c:majorTickMark val="in"/>
        <c:minorTickMark val="in"/>
        <c:tickLblPos val="nextTo"/>
        <c:spPr>
          <a:noFill/>
          <a:ln w="9525" cap="flat" cmpd="sng" algn="ctr">
            <a:solidFill>
              <a:schemeClr val="tx1"/>
            </a:solidFill>
            <a:round/>
          </a:ln>
          <a:effectLst/>
        </c:spPr>
        <c:txPr>
          <a:bodyPr rot="-60000000" vert="horz"/>
          <a:lstStyle/>
          <a:p>
            <a:pPr>
              <a:defRPr/>
            </a:pPr>
            <a:endParaRPr lang="ja-JP"/>
          </a:p>
        </c:txPr>
        <c:crossAx val="7610799"/>
        <c:crosses val="autoZero"/>
        <c:crossBetween val="midCat"/>
        <c:minorUnit val="100"/>
      </c:valAx>
      <c:valAx>
        <c:axId val="761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NF (dB)</a:t>
                </a:r>
                <a:endParaRPr lang="ja-JP"/>
              </a:p>
            </c:rich>
          </c:tx>
          <c:overlay val="0"/>
          <c:spPr>
            <a:noFill/>
            <a:ln>
              <a:noFill/>
            </a:ln>
            <a:effectLst/>
          </c:spPr>
        </c:title>
        <c:numFmt formatCode="General" sourceLinked="1"/>
        <c:majorTickMark val="in"/>
        <c:minorTickMark val="in"/>
        <c:tickLblPos val="nextTo"/>
        <c:spPr>
          <a:noFill/>
          <a:ln w="9525" cap="flat" cmpd="sng" algn="ctr">
            <a:solidFill>
              <a:schemeClr val="tx1"/>
            </a:solidFill>
            <a:round/>
          </a:ln>
          <a:effectLst/>
        </c:spPr>
        <c:txPr>
          <a:bodyPr rot="-60000000" vert="horz"/>
          <a:lstStyle/>
          <a:p>
            <a:pPr>
              <a:defRPr/>
            </a:pPr>
            <a:endParaRPr lang="ja-JP"/>
          </a:p>
        </c:txPr>
        <c:crossAx val="7611631"/>
        <c:crosses val="autoZero"/>
        <c:crossBetween val="midCat"/>
        <c:minorUnit val="1"/>
      </c:valAx>
      <c:spPr>
        <a:ln>
          <a:solidFill>
            <a:schemeClr val="tx1"/>
          </a:solidFill>
        </a:ln>
      </c:spPr>
    </c:plotArea>
    <c:legend>
      <c:legendPos val="r"/>
      <c:layout>
        <c:manualLayout>
          <c:xMode val="edge"/>
          <c:yMode val="edge"/>
          <c:x val="0.68358235294117642"/>
          <c:y val="0.58391129629629634"/>
          <c:w val="0.22863120915032681"/>
          <c:h val="0.2508562962962963"/>
        </c:manualLayout>
      </c:layout>
      <c:overlay val="1"/>
      <c:spPr>
        <a:solidFill>
          <a:schemeClr val="bg1"/>
        </a:solidFill>
        <a:ln>
          <a:solidFill>
            <a:schemeClr val="tx1"/>
          </a:solidFill>
        </a:ln>
      </c:spPr>
    </c:legend>
    <c:plotVisOnly val="1"/>
    <c:dispBlanksAs val="gap"/>
    <c:showDLblsOverMax val="0"/>
    <c:extLst/>
  </c:chart>
  <c:txPr>
    <a:bodyPr/>
    <a:lstStyle/>
    <a:p>
      <a:pPr>
        <a:defRPr sz="1200" b="1">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HBT'!$AI$1</c:f>
              <c:strCache>
                <c:ptCount val="1"/>
                <c:pt idx="0">
                  <c:v>Size(mm2)</c:v>
                </c:pt>
              </c:strCache>
            </c:strRef>
          </c:tx>
          <c:spPr>
            <a:ln w="25400" cap="rnd">
              <a:noFill/>
              <a:round/>
            </a:ln>
            <a:effectLst/>
          </c:spPr>
          <c:marker>
            <c:symbol val="circle"/>
            <c:size val="5"/>
            <c:spPr>
              <a:solidFill>
                <a:schemeClr val="accent1"/>
              </a:solidFill>
              <a:ln w="9525">
                <a:solidFill>
                  <a:schemeClr val="accent1"/>
                </a:solidFill>
              </a:ln>
              <a:effectLst/>
            </c:spPr>
          </c:marker>
          <c:xVal>
            <c:numRef>
              <c:f>'InP HBT'!$E$2:$E$21</c:f>
              <c:numCache>
                <c:formatCode>General</c:formatCode>
                <c:ptCount val="20"/>
                <c:pt idx="0">
                  <c:v>130</c:v>
                </c:pt>
                <c:pt idx="1">
                  <c:v>206</c:v>
                </c:pt>
                <c:pt idx="2">
                  <c:v>206</c:v>
                </c:pt>
                <c:pt idx="3">
                  <c:v>155</c:v>
                </c:pt>
                <c:pt idx="4">
                  <c:v>90</c:v>
                </c:pt>
                <c:pt idx="5">
                  <c:v>128</c:v>
                </c:pt>
                <c:pt idx="6">
                  <c:v>130</c:v>
                </c:pt>
                <c:pt idx="7">
                  <c:v>180</c:v>
                </c:pt>
                <c:pt idx="8">
                  <c:v>577</c:v>
                </c:pt>
                <c:pt idx="9">
                  <c:v>94.5</c:v>
                </c:pt>
                <c:pt idx="10">
                  <c:v>95</c:v>
                </c:pt>
                <c:pt idx="11">
                  <c:v>300</c:v>
                </c:pt>
                <c:pt idx="12">
                  <c:v>195</c:v>
                </c:pt>
                <c:pt idx="13">
                  <c:v>240</c:v>
                </c:pt>
                <c:pt idx="14">
                  <c:v>75</c:v>
                </c:pt>
                <c:pt idx="15">
                  <c:v>75</c:v>
                </c:pt>
                <c:pt idx="16">
                  <c:v>125</c:v>
                </c:pt>
                <c:pt idx="17">
                  <c:v>265</c:v>
                </c:pt>
                <c:pt idx="18">
                  <c:v>387.5</c:v>
                </c:pt>
                <c:pt idx="19">
                  <c:v>300</c:v>
                </c:pt>
              </c:numCache>
            </c:numRef>
          </c:xVal>
          <c:yVal>
            <c:numRef>
              <c:f>'InP HBT'!$AI$2:$AI$21</c:f>
              <c:numCache>
                <c:formatCode>General</c:formatCode>
                <c:ptCount val="20"/>
                <c:pt idx="0">
                  <c:v>0.95499999999999996</c:v>
                </c:pt>
                <c:pt idx="3">
                  <c:v>1.7600000000000002</c:v>
                </c:pt>
                <c:pt idx="4">
                  <c:v>3.75</c:v>
                </c:pt>
                <c:pt idx="5">
                  <c:v>2.5600000000000005</c:v>
                </c:pt>
                <c:pt idx="6">
                  <c:v>0.97500000000000009</c:v>
                </c:pt>
                <c:pt idx="7">
                  <c:v>0.42</c:v>
                </c:pt>
                <c:pt idx="8">
                  <c:v>1.08</c:v>
                </c:pt>
                <c:pt idx="9">
                  <c:v>2.7435</c:v>
                </c:pt>
                <c:pt idx="10">
                  <c:v>0.79200000000000004</c:v>
                </c:pt>
                <c:pt idx="11">
                  <c:v>1.32</c:v>
                </c:pt>
                <c:pt idx="12" formatCode="0.00">
                  <c:v>0.94080000000000008</c:v>
                </c:pt>
                <c:pt idx="13" formatCode="0.00">
                  <c:v>0.94080000000000008</c:v>
                </c:pt>
                <c:pt idx="14" formatCode="0.00">
                  <c:v>0.31819999999999998</c:v>
                </c:pt>
                <c:pt idx="15" formatCode="0.00">
                  <c:v>0.23920000000000002</c:v>
                </c:pt>
                <c:pt idx="16" formatCode="0.00">
                  <c:v>0.41420000000000001</c:v>
                </c:pt>
                <c:pt idx="18">
                  <c:v>0.105</c:v>
                </c:pt>
                <c:pt idx="19">
                  <c:v>1.125</c:v>
                </c:pt>
              </c:numCache>
            </c:numRef>
          </c:yVal>
          <c:smooth val="0"/>
          <c:extLst>
            <c:ext xmlns:c16="http://schemas.microsoft.com/office/drawing/2014/chart" uri="{C3380CC4-5D6E-409C-BE32-E72D297353CC}">
              <c16:uniqueId val="{00000000-2488-49AB-A138-E127EDCC3383}"/>
            </c:ext>
          </c:extLst>
        </c:ser>
        <c:dLbls>
          <c:showLegendKey val="0"/>
          <c:showVal val="0"/>
          <c:showCatName val="0"/>
          <c:showSerName val="0"/>
          <c:showPercent val="0"/>
          <c:showBubbleSize val="0"/>
        </c:dLbls>
        <c:axId val="7611631"/>
        <c:axId val="7610799"/>
      </c:scatterChart>
      <c:valAx>
        <c:axId val="761163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baseline="0"/>
                  <a:t>Size (mm2)</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InPHEMTs!$O$1</c:f>
              <c:strCache>
                <c:ptCount val="1"/>
                <c:pt idx="0">
                  <c:v>Gain S21 (dB) (Other countries)</c:v>
                </c:pt>
              </c:strCache>
            </c:strRef>
          </c:tx>
          <c:spPr>
            <a:ln w="25400" cap="rnd">
              <a:noFill/>
              <a:round/>
            </a:ln>
            <a:effectLst/>
          </c:spPr>
          <c:marker>
            <c:symbol val="circle"/>
            <c:size val="5"/>
            <c:spPr>
              <a:solidFill>
                <a:schemeClr val="accent1"/>
              </a:solidFill>
              <a:ln w="9525">
                <a:solidFill>
                  <a:schemeClr val="accent1"/>
                </a:solidFill>
              </a:ln>
              <a:effectLst/>
            </c:spPr>
          </c:marker>
          <c:xVal>
            <c:numRef>
              <c:f>InPHEMTs!$B$2:$B$98</c:f>
              <c:numCache>
                <c:formatCode>General</c:formatCode>
                <c:ptCount val="97"/>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3">
                  <c:v>300</c:v>
                </c:pt>
                <c:pt idx="14">
                  <c:v>89</c:v>
                </c:pt>
                <c:pt idx="15">
                  <c:v>85.5</c:v>
                </c:pt>
                <c:pt idx="16">
                  <c:v>94</c:v>
                </c:pt>
                <c:pt idx="17">
                  <c:v>83</c:v>
                </c:pt>
                <c:pt idx="18">
                  <c:v>87.5</c:v>
                </c:pt>
                <c:pt idx="19">
                  <c:v>83.5</c:v>
                </c:pt>
                <c:pt idx="20">
                  <c:v>83.5</c:v>
                </c:pt>
                <c:pt idx="21">
                  <c:v>90</c:v>
                </c:pt>
                <c:pt idx="22">
                  <c:v>94</c:v>
                </c:pt>
                <c:pt idx="23">
                  <c:v>96</c:v>
                </c:pt>
              </c:numCache>
            </c:numRef>
          </c:xVal>
          <c:yVal>
            <c:numRef>
              <c:f>InPHEMTs!$O$2:$O$98</c:f>
              <c:numCache>
                <c:formatCode>General</c:formatCode>
                <c:ptCount val="97"/>
                <c:pt idx="0">
                  <c:v>35</c:v>
                </c:pt>
                <c:pt idx="1">
                  <c:v>12.4</c:v>
                </c:pt>
                <c:pt idx="2">
                  <c:v>10</c:v>
                </c:pt>
                <c:pt idx="3">
                  <c:v>27.5</c:v>
                </c:pt>
                <c:pt idx="4">
                  <c:v>16</c:v>
                </c:pt>
                <c:pt idx="5">
                  <c:v>9</c:v>
                </c:pt>
                <c:pt idx="6">
                  <c:v>13.5</c:v>
                </c:pt>
                <c:pt idx="7">
                  <c:v>13.6</c:v>
                </c:pt>
                <c:pt idx="8">
                  <c:v>11.25</c:v>
                </c:pt>
                <c:pt idx="9">
                  <c:v>5</c:v>
                </c:pt>
                <c:pt idx="10">
                  <c:v>22</c:v>
                </c:pt>
                <c:pt idx="11">
                  <c:v>7</c:v>
                </c:pt>
                <c:pt idx="12">
                  <c:v>19.399999999999999</c:v>
                </c:pt>
                <c:pt idx="13">
                  <c:v>#N/A</c:v>
                </c:pt>
                <c:pt idx="14">
                  <c:v>#N/A</c:v>
                </c:pt>
                <c:pt idx="15">
                  <c:v>#N/A</c:v>
                </c:pt>
                <c:pt idx="16">
                  <c:v>#N/A</c:v>
                </c:pt>
                <c:pt idx="17">
                  <c:v>24.5</c:v>
                </c:pt>
                <c:pt idx="18">
                  <c:v>24</c:v>
                </c:pt>
                <c:pt idx="19">
                  <c:v>31.9</c:v>
                </c:pt>
                <c:pt idx="20">
                  <c:v>28</c:v>
                </c:pt>
                <c:pt idx="21">
                  <c:v>30</c:v>
                </c:pt>
                <c:pt idx="22">
                  <c:v>#N/A</c:v>
                </c:pt>
                <c:pt idx="23">
                  <c:v>21.2</c:v>
                </c:pt>
              </c:numCache>
            </c:numRef>
          </c:yVal>
          <c:smooth val="0"/>
          <c:extLst>
            <c:ext xmlns:c16="http://schemas.microsoft.com/office/drawing/2014/chart" uri="{C3380CC4-5D6E-409C-BE32-E72D297353CC}">
              <c16:uniqueId val="{00000000-59C2-4E03-81BC-BAF7F5B188E0}"/>
            </c:ext>
          </c:extLst>
        </c:ser>
        <c:ser>
          <c:idx val="1"/>
          <c:order val="1"/>
          <c:tx>
            <c:strRef>
              <c:f>InPHEMTs!$P$1</c:f>
              <c:strCache>
                <c:ptCount val="1"/>
                <c:pt idx="0">
                  <c:v>Gain S21 (dB) (Developed in Japan)</c:v>
                </c:pt>
              </c:strCache>
            </c:strRef>
          </c:tx>
          <c:spPr>
            <a:ln w="25400" cap="rnd">
              <a:noFill/>
              <a:round/>
            </a:ln>
            <a:effectLst/>
          </c:spPr>
          <c:marker>
            <c:symbol val="circle"/>
            <c:size val="5"/>
            <c:spPr>
              <a:solidFill>
                <a:schemeClr val="accent2"/>
              </a:solidFill>
              <a:ln w="9525">
                <a:solidFill>
                  <a:schemeClr val="accent2"/>
                </a:solidFill>
              </a:ln>
              <a:effectLst/>
            </c:spPr>
          </c:marker>
          <c:dPt>
            <c:idx val="25"/>
            <c:marker>
              <c:symbol val="circle"/>
              <c:size val="5"/>
              <c:spPr>
                <a:solidFill>
                  <a:schemeClr val="accent2"/>
                </a:solidFill>
                <a:ln w="9525">
                  <a:solidFill>
                    <a:schemeClr val="accent2"/>
                  </a:solidFill>
                </a:ln>
                <a:effectLst/>
              </c:spPr>
            </c:marker>
            <c:bubble3D val="0"/>
          </c:dPt>
          <c:xVal>
            <c:numRef>
              <c:f>InPHEMTs!$B$2:$B$98</c:f>
              <c:numCache>
                <c:formatCode>General</c:formatCode>
                <c:ptCount val="97"/>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3">
                  <c:v>300</c:v>
                </c:pt>
                <c:pt idx="14">
                  <c:v>89</c:v>
                </c:pt>
                <c:pt idx="15">
                  <c:v>85.5</c:v>
                </c:pt>
                <c:pt idx="16">
                  <c:v>94</c:v>
                </c:pt>
                <c:pt idx="17">
                  <c:v>83</c:v>
                </c:pt>
                <c:pt idx="18">
                  <c:v>87.5</c:v>
                </c:pt>
                <c:pt idx="19">
                  <c:v>83.5</c:v>
                </c:pt>
                <c:pt idx="20">
                  <c:v>83.5</c:v>
                </c:pt>
                <c:pt idx="21">
                  <c:v>90</c:v>
                </c:pt>
                <c:pt idx="22">
                  <c:v>94</c:v>
                </c:pt>
                <c:pt idx="23">
                  <c:v>96</c:v>
                </c:pt>
              </c:numCache>
            </c:numRef>
          </c:xVal>
          <c:yVal>
            <c:numRef>
              <c:f>InPHEMTs!$P$2:$P$98</c:f>
              <c:numCache>
                <c:formatCode>General</c:formatCode>
                <c:ptCount val="97"/>
                <c:pt idx="0">
                  <c:v>#N/A</c:v>
                </c:pt>
                <c:pt idx="1">
                  <c:v>#N/A</c:v>
                </c:pt>
                <c:pt idx="2">
                  <c:v>#N/A</c:v>
                </c:pt>
                <c:pt idx="3">
                  <c:v>#N/A</c:v>
                </c:pt>
                <c:pt idx="4">
                  <c:v>#N/A</c:v>
                </c:pt>
                <c:pt idx="5">
                  <c:v>#N/A</c:v>
                </c:pt>
                <c:pt idx="6">
                  <c:v>#N/A</c:v>
                </c:pt>
                <c:pt idx="7">
                  <c:v>#N/A</c:v>
                </c:pt>
                <c:pt idx="8">
                  <c:v>#N/A</c:v>
                </c:pt>
                <c:pt idx="9">
                  <c:v>#N/A</c:v>
                </c:pt>
                <c:pt idx="10">
                  <c:v>#N/A</c:v>
                </c:pt>
                <c:pt idx="11">
                  <c:v>#N/A</c:v>
                </c:pt>
                <c:pt idx="12">
                  <c:v>#N/A</c:v>
                </c:pt>
                <c:pt idx="13">
                  <c:v>30</c:v>
                </c:pt>
                <c:pt idx="14">
                  <c:v>16.5</c:v>
                </c:pt>
                <c:pt idx="15">
                  <c:v>28.5</c:v>
                </c:pt>
                <c:pt idx="16">
                  <c:v>35</c:v>
                </c:pt>
                <c:pt idx="17">
                  <c:v>#N/A</c:v>
                </c:pt>
                <c:pt idx="18">
                  <c:v>#N/A</c:v>
                </c:pt>
                <c:pt idx="19">
                  <c:v>#N/A</c:v>
                </c:pt>
                <c:pt idx="20">
                  <c:v>#N/A</c:v>
                </c:pt>
                <c:pt idx="21">
                  <c:v>#N/A</c:v>
                </c:pt>
                <c:pt idx="22">
                  <c:v>#N/A</c:v>
                </c:pt>
                <c:pt idx="23">
                  <c:v>#N/A</c:v>
                </c:pt>
              </c:numCache>
            </c:numRef>
          </c:yVal>
          <c:smooth val="0"/>
          <c:extLst>
            <c:ext xmlns:c16="http://schemas.microsoft.com/office/drawing/2014/chart" uri="{C3380CC4-5D6E-409C-BE32-E72D297353CC}">
              <c16:uniqueId val="{00000003-59C2-4E03-81BC-BAF7F5B188E0}"/>
            </c:ext>
          </c:extLst>
        </c:ser>
        <c:dLbls>
          <c:showLegendKey val="0"/>
          <c:showVal val="0"/>
          <c:showCatName val="0"/>
          <c:showSerName val="0"/>
          <c:showPercent val="0"/>
          <c:showBubbleSize val="0"/>
        </c:dLbls>
        <c:axId val="752015984"/>
        <c:axId val="639531088"/>
      </c:scatterChart>
      <c:valAx>
        <c:axId val="75201598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639531088"/>
        <c:crossesAt val="-50"/>
        <c:crossBetween val="midCat"/>
      </c:valAx>
      <c:valAx>
        <c:axId val="639531088"/>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Gain (dB)</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5201598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InPHEMTs!$C$1</c:f>
              <c:strCache>
                <c:ptCount val="1"/>
                <c:pt idx="0">
                  <c:v>3dB Bandwidth (GHz)</c:v>
                </c:pt>
              </c:strCache>
            </c:strRef>
          </c:tx>
          <c:spPr>
            <a:ln w="25400" cap="rnd">
              <a:noFill/>
              <a:round/>
            </a:ln>
            <a:effectLst/>
          </c:spPr>
          <c:marker>
            <c:symbol val="circle"/>
            <c:size val="5"/>
            <c:spPr>
              <a:solidFill>
                <a:schemeClr val="accent1"/>
              </a:solidFill>
              <a:ln w="9525">
                <a:solidFill>
                  <a:schemeClr val="accent1"/>
                </a:solidFill>
              </a:ln>
              <a:effectLst/>
            </c:spPr>
          </c:marker>
          <c:xVal>
            <c:numRef>
              <c:f>InPHEMTs!$B$2:$B$98</c:f>
              <c:numCache>
                <c:formatCode>General</c:formatCode>
                <c:ptCount val="97"/>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3">
                  <c:v>300</c:v>
                </c:pt>
                <c:pt idx="14">
                  <c:v>89</c:v>
                </c:pt>
                <c:pt idx="15">
                  <c:v>85.5</c:v>
                </c:pt>
                <c:pt idx="16">
                  <c:v>94</c:v>
                </c:pt>
                <c:pt idx="17">
                  <c:v>83</c:v>
                </c:pt>
                <c:pt idx="18">
                  <c:v>87.5</c:v>
                </c:pt>
                <c:pt idx="19">
                  <c:v>83.5</c:v>
                </c:pt>
                <c:pt idx="20">
                  <c:v>83.5</c:v>
                </c:pt>
                <c:pt idx="21">
                  <c:v>90</c:v>
                </c:pt>
                <c:pt idx="22">
                  <c:v>94</c:v>
                </c:pt>
                <c:pt idx="23">
                  <c:v>96</c:v>
                </c:pt>
              </c:numCache>
            </c:numRef>
          </c:xVal>
          <c:yVal>
            <c:numRef>
              <c:f>InPHEMTs!$C$2:$C$98</c:f>
              <c:numCache>
                <c:formatCode>General</c:formatCode>
                <c:ptCount val="97"/>
                <c:pt idx="0">
                  <c:v>10</c:v>
                </c:pt>
                <c:pt idx="1">
                  <c:v>90</c:v>
                </c:pt>
                <c:pt idx="2">
                  <c:v>10</c:v>
                </c:pt>
                <c:pt idx="3">
                  <c:v>20</c:v>
                </c:pt>
                <c:pt idx="4">
                  <c:v>27</c:v>
                </c:pt>
                <c:pt idx="5">
                  <c:v>95</c:v>
                </c:pt>
                <c:pt idx="6">
                  <c:v>66</c:v>
                </c:pt>
                <c:pt idx="7">
                  <c:v>90</c:v>
                </c:pt>
                <c:pt idx="8">
                  <c:v>90</c:v>
                </c:pt>
                <c:pt idx="9">
                  <c:v>60</c:v>
                </c:pt>
                <c:pt idx="10">
                  <c:v>150</c:v>
                </c:pt>
                <c:pt idx="11">
                  <c:v>6</c:v>
                </c:pt>
                <c:pt idx="12">
                  <c:v>35</c:v>
                </c:pt>
                <c:pt idx="13">
                  <c:v>40</c:v>
                </c:pt>
                <c:pt idx="14">
                  <c:v>42</c:v>
                </c:pt>
                <c:pt idx="15">
                  <c:v>26</c:v>
                </c:pt>
                <c:pt idx="16">
                  <c:v>20</c:v>
                </c:pt>
                <c:pt idx="17">
                  <c:v>54</c:v>
                </c:pt>
                <c:pt idx="18">
                  <c:v>25</c:v>
                </c:pt>
                <c:pt idx="19">
                  <c:v>5</c:v>
                </c:pt>
                <c:pt idx="20">
                  <c:v>5</c:v>
                </c:pt>
                <c:pt idx="21">
                  <c:v>25.5</c:v>
                </c:pt>
                <c:pt idx="22">
                  <c:v>#N/A</c:v>
                </c:pt>
                <c:pt idx="23">
                  <c:v>12</c:v>
                </c:pt>
              </c:numCache>
            </c:numRef>
          </c:yVal>
          <c:smooth val="0"/>
          <c:extLst>
            <c:ext xmlns:c16="http://schemas.microsoft.com/office/drawing/2014/chart" uri="{C3380CC4-5D6E-409C-BE32-E72D297353CC}">
              <c16:uniqueId val="{00000000-1AEF-4C4A-9CF8-1D1E3816CE41}"/>
            </c:ext>
          </c:extLst>
        </c:ser>
        <c:dLbls>
          <c:showLegendKey val="0"/>
          <c:showVal val="0"/>
          <c:showCatName val="0"/>
          <c:showSerName val="0"/>
          <c:showPercent val="0"/>
          <c:showBubbleSize val="0"/>
        </c:dLbls>
        <c:axId val="752015984"/>
        <c:axId val="639531088"/>
      </c:scatterChart>
      <c:valAx>
        <c:axId val="752015984"/>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639531088"/>
        <c:crossesAt val="-50"/>
        <c:crossBetween val="midCat"/>
      </c:valAx>
      <c:valAx>
        <c:axId val="639531088"/>
        <c:scaling>
          <c:logBase val="10"/>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Bandwidth (GHz)</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5201598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InPHEMTs!$E$1</c:f>
              <c:strCache>
                <c:ptCount val="1"/>
                <c:pt idx="0">
                  <c:v>Pout, sat (dBm)</c:v>
                </c:pt>
              </c:strCache>
            </c:strRef>
          </c:tx>
          <c:spPr>
            <a:ln w="25400" cap="rnd">
              <a:noFill/>
              <a:round/>
            </a:ln>
            <a:effectLst/>
          </c:spPr>
          <c:marker>
            <c:symbol val="circle"/>
            <c:size val="5"/>
            <c:spPr>
              <a:solidFill>
                <a:schemeClr val="accent1"/>
              </a:solidFill>
              <a:ln w="9525">
                <a:solidFill>
                  <a:schemeClr val="accent1"/>
                </a:solidFill>
              </a:ln>
              <a:effectLst/>
            </c:spPr>
          </c:marker>
          <c:dPt>
            <c:idx val="25"/>
            <c:marker>
              <c:symbol val="circle"/>
              <c:size val="5"/>
              <c:spPr>
                <a:solidFill>
                  <a:schemeClr val="accent1"/>
                </a:solidFill>
                <a:ln w="9525">
                  <a:solidFill>
                    <a:schemeClr val="accent1"/>
                  </a:solidFill>
                </a:ln>
                <a:effectLst/>
              </c:spPr>
            </c:marker>
            <c:bubble3D val="0"/>
            <c:spPr>
              <a:ln w="25400" cap="rnd">
                <a:noFill/>
                <a:round/>
              </a:ln>
              <a:effectLst/>
            </c:spPr>
          </c:dPt>
          <c:xVal>
            <c:numRef>
              <c:f>InPHEMTs!$L$2:$L$98</c:f>
              <c:numCache>
                <c:formatCode>General</c:formatCode>
                <c:ptCount val="97"/>
                <c:pt idx="0">
                  <c:v>2019</c:v>
                </c:pt>
                <c:pt idx="1">
                  <c:v>2017</c:v>
                </c:pt>
                <c:pt idx="2">
                  <c:v>2016</c:v>
                </c:pt>
                <c:pt idx="3">
                  <c:v>2016</c:v>
                </c:pt>
                <c:pt idx="4">
                  <c:v>2016</c:v>
                </c:pt>
                <c:pt idx="5">
                  <c:v>2015</c:v>
                </c:pt>
                <c:pt idx="6">
                  <c:v>2015</c:v>
                </c:pt>
                <c:pt idx="7">
                  <c:v>2015</c:v>
                </c:pt>
                <c:pt idx="8">
                  <c:v>2014</c:v>
                </c:pt>
                <c:pt idx="9">
                  <c:v>2014</c:v>
                </c:pt>
                <c:pt idx="10">
                  <c:v>2014</c:v>
                </c:pt>
                <c:pt idx="11">
                  <c:v>2011</c:v>
                </c:pt>
                <c:pt idx="12">
                  <c:v>2008</c:v>
                </c:pt>
                <c:pt idx="13">
                  <c:v>2015</c:v>
                </c:pt>
                <c:pt idx="14">
                  <c:v>2010</c:v>
                </c:pt>
                <c:pt idx="15">
                  <c:v>2009</c:v>
                </c:pt>
                <c:pt idx="16">
                  <c:v>2008</c:v>
                </c:pt>
                <c:pt idx="17">
                  <c:v>2016</c:v>
                </c:pt>
                <c:pt idx="18">
                  <c:v>2016</c:v>
                </c:pt>
                <c:pt idx="19">
                  <c:v>2016</c:v>
                </c:pt>
                <c:pt idx="20">
                  <c:v>2016</c:v>
                </c:pt>
                <c:pt idx="21">
                  <c:v>2014</c:v>
                </c:pt>
                <c:pt idx="22">
                  <c:v>2014</c:v>
                </c:pt>
                <c:pt idx="23">
                  <c:v>2011</c:v>
                </c:pt>
              </c:numCache>
            </c:numRef>
          </c:xVal>
          <c:yVal>
            <c:numRef>
              <c:f>InPHEMTs!$E$2:$E$98</c:f>
              <c:numCache>
                <c:formatCode>General</c:formatCode>
                <c:ptCount val="9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yVal>
          <c:smooth val="0"/>
          <c:extLst>
            <c:ext xmlns:c16="http://schemas.microsoft.com/office/drawing/2014/chart" uri="{C3380CC4-5D6E-409C-BE32-E72D297353CC}">
              <c16:uniqueId val="{00000002-C2FD-44DE-ADC9-AC1CCB10F1C2}"/>
            </c:ext>
          </c:extLst>
        </c:ser>
        <c:dLbls>
          <c:showLegendKey val="0"/>
          <c:showVal val="0"/>
          <c:showCatName val="0"/>
          <c:showSerName val="0"/>
          <c:showPercent val="0"/>
          <c:showBubbleSize val="0"/>
        </c:dLbls>
        <c:axId val="752015984"/>
        <c:axId val="639531088"/>
      </c:scatterChart>
      <c:valAx>
        <c:axId val="752015984"/>
        <c:scaling>
          <c:orientation val="minMax"/>
          <c:max val="2035"/>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639531088"/>
        <c:crossesAt val="-50"/>
        <c:crossBetween val="midCat"/>
      </c:valAx>
      <c:valAx>
        <c:axId val="639531088"/>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Saturated power (dBm)</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5201598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InPHEMTs!$F$1</c:f>
              <c:strCache>
                <c:ptCount val="1"/>
                <c:pt idx="0">
                  <c:v>NF (dB)</c:v>
                </c:pt>
              </c:strCache>
            </c:strRef>
          </c:tx>
          <c:spPr>
            <a:ln w="25400" cap="rnd">
              <a:noFill/>
              <a:round/>
            </a:ln>
            <a:effectLst/>
          </c:spPr>
          <c:marker>
            <c:symbol val="circle"/>
            <c:size val="5"/>
            <c:spPr>
              <a:solidFill>
                <a:schemeClr val="accent1"/>
              </a:solidFill>
              <a:ln w="9525">
                <a:solidFill>
                  <a:schemeClr val="accent1"/>
                </a:solidFill>
              </a:ln>
              <a:effectLst/>
            </c:spPr>
          </c:marker>
          <c:xVal>
            <c:numRef>
              <c:f>InPHEMTs!$B$2:$B$98</c:f>
              <c:numCache>
                <c:formatCode>General</c:formatCode>
                <c:ptCount val="97"/>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3">
                  <c:v>300</c:v>
                </c:pt>
                <c:pt idx="14">
                  <c:v>89</c:v>
                </c:pt>
                <c:pt idx="15">
                  <c:v>85.5</c:v>
                </c:pt>
                <c:pt idx="16">
                  <c:v>94</c:v>
                </c:pt>
                <c:pt idx="17">
                  <c:v>83</c:v>
                </c:pt>
                <c:pt idx="18">
                  <c:v>87.5</c:v>
                </c:pt>
                <c:pt idx="19">
                  <c:v>83.5</c:v>
                </c:pt>
                <c:pt idx="20">
                  <c:v>83.5</c:v>
                </c:pt>
                <c:pt idx="21">
                  <c:v>90</c:v>
                </c:pt>
                <c:pt idx="22">
                  <c:v>94</c:v>
                </c:pt>
                <c:pt idx="23">
                  <c:v>96</c:v>
                </c:pt>
              </c:numCache>
            </c:numRef>
          </c:xVal>
          <c:yVal>
            <c:numRef>
              <c:f>InPHEMTs!$F$2:$F$98</c:f>
              <c:numCache>
                <c:formatCode>General</c:formatCode>
                <c:ptCount val="97"/>
                <c:pt idx="0">
                  <c:v>4.05</c:v>
                </c:pt>
                <c:pt idx="1">
                  <c:v>12</c:v>
                </c:pt>
                <c:pt idx="2">
                  <c:v>#N/A</c:v>
                </c:pt>
                <c:pt idx="3">
                  <c:v>9.6</c:v>
                </c:pt>
                <c:pt idx="4">
                  <c:v>9.6</c:v>
                </c:pt>
                <c:pt idx="5">
                  <c:v>#N/A</c:v>
                </c:pt>
                <c:pt idx="6">
                  <c:v>12</c:v>
                </c:pt>
                <c:pt idx="7">
                  <c:v>12.2</c:v>
                </c:pt>
                <c:pt idx="8">
                  <c:v>6.15</c:v>
                </c:pt>
                <c:pt idx="9">
                  <c:v>#N/A</c:v>
                </c:pt>
                <c:pt idx="10">
                  <c:v>7.5</c:v>
                </c:pt>
                <c:pt idx="11">
                  <c:v>13</c:v>
                </c:pt>
                <c:pt idx="12">
                  <c:v>2.5</c:v>
                </c:pt>
                <c:pt idx="13">
                  <c:v>9.8000000000000007</c:v>
                </c:pt>
                <c:pt idx="14">
                  <c:v>3.5</c:v>
                </c:pt>
                <c:pt idx="15">
                  <c:v>4</c:v>
                </c:pt>
                <c:pt idx="16">
                  <c:v>4.5</c:v>
                </c:pt>
                <c:pt idx="17">
                  <c:v>#N/A</c:v>
                </c:pt>
                <c:pt idx="18">
                  <c:v>2.7</c:v>
                </c:pt>
                <c:pt idx="19">
                  <c:v>#N/A</c:v>
                </c:pt>
                <c:pt idx="20">
                  <c:v>1.75</c:v>
                </c:pt>
                <c:pt idx="21">
                  <c:v>1.9</c:v>
                </c:pt>
                <c:pt idx="22">
                  <c:v>1.75</c:v>
                </c:pt>
                <c:pt idx="23">
                  <c:v>#N/A</c:v>
                </c:pt>
              </c:numCache>
            </c:numRef>
          </c:yVal>
          <c:smooth val="0"/>
          <c:extLst>
            <c:ext xmlns:c16="http://schemas.microsoft.com/office/drawing/2014/chart" uri="{C3380CC4-5D6E-409C-BE32-E72D297353CC}">
              <c16:uniqueId val="{00000000-601E-4ED0-B944-FCFD80EFA316}"/>
            </c:ext>
          </c:extLst>
        </c:ser>
        <c:dLbls>
          <c:showLegendKey val="0"/>
          <c:showVal val="0"/>
          <c:showCatName val="0"/>
          <c:showSerName val="0"/>
          <c:showPercent val="0"/>
          <c:showBubbleSize val="0"/>
        </c:dLbls>
        <c:axId val="752015984"/>
        <c:axId val="639531088"/>
      </c:scatterChart>
      <c:valAx>
        <c:axId val="752015984"/>
        <c:scaling>
          <c:orientation val="minMax"/>
          <c:max val="250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639531088"/>
        <c:crossesAt val="-50"/>
        <c:crossBetween val="midCat"/>
      </c:valAx>
      <c:valAx>
        <c:axId val="639531088"/>
        <c:scaling>
          <c:logBase val="10"/>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NF (dB)</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5201598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InPHEMTs!$B$1</c:f>
              <c:strCache>
                <c:ptCount val="1"/>
                <c:pt idx="0">
                  <c:v>Center frequency (GHz)</c:v>
                </c:pt>
              </c:strCache>
            </c:strRef>
          </c:tx>
          <c:spPr>
            <a:ln w="25400" cap="rnd">
              <a:noFill/>
              <a:round/>
            </a:ln>
            <a:effectLst/>
          </c:spPr>
          <c:marker>
            <c:symbol val="circle"/>
            <c:size val="5"/>
            <c:spPr>
              <a:solidFill>
                <a:schemeClr val="accent1"/>
              </a:solidFill>
              <a:ln w="9525">
                <a:solidFill>
                  <a:schemeClr val="accent1"/>
                </a:solidFill>
              </a:ln>
              <a:effectLst/>
            </c:spPr>
          </c:marker>
          <c:xVal>
            <c:numRef>
              <c:f>InPHEMTs!$L$2:$L$98</c:f>
              <c:numCache>
                <c:formatCode>General</c:formatCode>
                <c:ptCount val="97"/>
                <c:pt idx="0">
                  <c:v>2019</c:v>
                </c:pt>
                <c:pt idx="1">
                  <c:v>2017</c:v>
                </c:pt>
                <c:pt idx="2">
                  <c:v>2016</c:v>
                </c:pt>
                <c:pt idx="3">
                  <c:v>2016</c:v>
                </c:pt>
                <c:pt idx="4">
                  <c:v>2016</c:v>
                </c:pt>
                <c:pt idx="5">
                  <c:v>2015</c:v>
                </c:pt>
                <c:pt idx="6">
                  <c:v>2015</c:v>
                </c:pt>
                <c:pt idx="7">
                  <c:v>2015</c:v>
                </c:pt>
                <c:pt idx="8">
                  <c:v>2014</c:v>
                </c:pt>
                <c:pt idx="9">
                  <c:v>2014</c:v>
                </c:pt>
                <c:pt idx="10">
                  <c:v>2014</c:v>
                </c:pt>
                <c:pt idx="11">
                  <c:v>2011</c:v>
                </c:pt>
                <c:pt idx="12">
                  <c:v>2008</c:v>
                </c:pt>
                <c:pt idx="13">
                  <c:v>2015</c:v>
                </c:pt>
                <c:pt idx="14">
                  <c:v>2010</c:v>
                </c:pt>
                <c:pt idx="15">
                  <c:v>2009</c:v>
                </c:pt>
                <c:pt idx="16">
                  <c:v>2008</c:v>
                </c:pt>
                <c:pt idx="17">
                  <c:v>2016</c:v>
                </c:pt>
                <c:pt idx="18">
                  <c:v>2016</c:v>
                </c:pt>
                <c:pt idx="19">
                  <c:v>2016</c:v>
                </c:pt>
                <c:pt idx="20">
                  <c:v>2016</c:v>
                </c:pt>
                <c:pt idx="21">
                  <c:v>2014</c:v>
                </c:pt>
                <c:pt idx="22">
                  <c:v>2014</c:v>
                </c:pt>
                <c:pt idx="23">
                  <c:v>2011</c:v>
                </c:pt>
              </c:numCache>
            </c:numRef>
          </c:xVal>
          <c:yVal>
            <c:numRef>
              <c:f>InPHEMTs!$B$2:$B$98</c:f>
              <c:numCache>
                <c:formatCode>General</c:formatCode>
                <c:ptCount val="97"/>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3">
                  <c:v>300</c:v>
                </c:pt>
                <c:pt idx="14">
                  <c:v>89</c:v>
                </c:pt>
                <c:pt idx="15">
                  <c:v>85.5</c:v>
                </c:pt>
                <c:pt idx="16">
                  <c:v>94</c:v>
                </c:pt>
                <c:pt idx="17">
                  <c:v>83</c:v>
                </c:pt>
                <c:pt idx="18">
                  <c:v>87.5</c:v>
                </c:pt>
                <c:pt idx="19">
                  <c:v>83.5</c:v>
                </c:pt>
                <c:pt idx="20">
                  <c:v>83.5</c:v>
                </c:pt>
                <c:pt idx="21">
                  <c:v>90</c:v>
                </c:pt>
                <c:pt idx="22">
                  <c:v>94</c:v>
                </c:pt>
                <c:pt idx="23">
                  <c:v>96</c:v>
                </c:pt>
              </c:numCache>
            </c:numRef>
          </c:yVal>
          <c:smooth val="0"/>
          <c:extLst>
            <c:ext xmlns:c16="http://schemas.microsoft.com/office/drawing/2014/chart" uri="{C3380CC4-5D6E-409C-BE32-E72D297353CC}">
              <c16:uniqueId val="{00000000-8FB7-4ABC-8CCA-12E804F6795F}"/>
            </c:ext>
          </c:extLst>
        </c:ser>
        <c:dLbls>
          <c:showLegendKey val="0"/>
          <c:showVal val="0"/>
          <c:showCatName val="0"/>
          <c:showSerName val="0"/>
          <c:showPercent val="0"/>
          <c:showBubbleSize val="0"/>
        </c:dLbls>
        <c:axId val="752015984"/>
        <c:axId val="639531088"/>
      </c:scatterChart>
      <c:valAx>
        <c:axId val="752015984"/>
        <c:scaling>
          <c:orientation val="minMax"/>
          <c:max val="2035"/>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639531088"/>
        <c:crossesAt val="-50"/>
        <c:crossBetween val="midCat"/>
      </c:valAx>
      <c:valAx>
        <c:axId val="639531088"/>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5201598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Ft</a:t>
            </a:r>
            <a:endParaRPr lang="ja-JP"/>
          </a:p>
        </c:rich>
      </c:tx>
      <c:overlay val="0"/>
      <c:spPr>
        <a:noFill/>
        <a:ln>
          <a:noFill/>
        </a:ln>
        <a:effectLst/>
      </c:spPr>
    </c:title>
    <c:autoTitleDeleted val="0"/>
    <c:plotArea>
      <c:layout/>
      <c:scatterChart>
        <c:scatterStyle val="lineMarker"/>
        <c:varyColors val="0"/>
        <c:ser>
          <c:idx val="1"/>
          <c:order val="0"/>
          <c:tx>
            <c:strRef>
              <c:f>'GaN HEMT'!$J$1</c:f>
              <c:strCache>
                <c:ptCount val="1"/>
                <c:pt idx="0">
                  <c:v>Ft(GHz)</c:v>
                </c:pt>
              </c:strCache>
            </c:strRef>
          </c:tx>
          <c:spPr>
            <a:ln>
              <a:noFill/>
            </a:ln>
          </c:spPr>
          <c:marker>
            <c:symbol val="circle"/>
            <c:size val="7"/>
          </c:marker>
          <c:xVal>
            <c:numRef>
              <c:f>'GaN HEMT'!$F$2:$F$29</c:f>
              <c:numCache>
                <c:formatCode>General</c:formatCode>
                <c:ptCount val="28"/>
                <c:pt idx="0">
                  <c:v>7.0000000000000007E-2</c:v>
                </c:pt>
                <c:pt idx="1">
                  <c:v>7.0000000000000007E-2</c:v>
                </c:pt>
                <c:pt idx="2">
                  <c:v>0.1</c:v>
                </c:pt>
                <c:pt idx="3">
                  <c:v>0.1</c:v>
                </c:pt>
                <c:pt idx="4">
                  <c:v>0.1</c:v>
                </c:pt>
                <c:pt idx="5">
                  <c:v>0.1</c:v>
                </c:pt>
                <c:pt idx="7">
                  <c:v>0.04</c:v>
                </c:pt>
                <c:pt idx="8">
                  <c:v>0.04</c:v>
                </c:pt>
                <c:pt idx="9">
                  <c:v>0.02</c:v>
                </c:pt>
                <c:pt idx="10">
                  <c:v>0.04</c:v>
                </c:pt>
                <c:pt idx="11">
                  <c:v>0.04</c:v>
                </c:pt>
                <c:pt idx="13">
                  <c:v>0.09</c:v>
                </c:pt>
                <c:pt idx="14">
                  <c:v>0.09</c:v>
                </c:pt>
                <c:pt idx="16">
                  <c:v>0.1</c:v>
                </c:pt>
                <c:pt idx="17">
                  <c:v>0.1</c:v>
                </c:pt>
                <c:pt idx="19">
                  <c:v>0.1</c:v>
                </c:pt>
                <c:pt idx="20">
                  <c:v>0.1</c:v>
                </c:pt>
                <c:pt idx="22">
                  <c:v>0.12</c:v>
                </c:pt>
                <c:pt idx="23">
                  <c:v>0.12</c:v>
                </c:pt>
              </c:numCache>
            </c:numRef>
          </c:xVal>
          <c:yVal>
            <c:numRef>
              <c:f>'GaN HEMT'!$J$2:$J$29</c:f>
              <c:numCache>
                <c:formatCode>General</c:formatCode>
                <c:ptCount val="28"/>
                <c:pt idx="0">
                  <c:v>145</c:v>
                </c:pt>
                <c:pt idx="1">
                  <c:v>145</c:v>
                </c:pt>
                <c:pt idx="2">
                  <c:v>110</c:v>
                </c:pt>
                <c:pt idx="3">
                  <c:v>110</c:v>
                </c:pt>
                <c:pt idx="4">
                  <c:v>110</c:v>
                </c:pt>
                <c:pt idx="5">
                  <c:v>80</c:v>
                </c:pt>
                <c:pt idx="7">
                  <c:v>200</c:v>
                </c:pt>
                <c:pt idx="8">
                  <c:v>200</c:v>
                </c:pt>
                <c:pt idx="9">
                  <c:v>320</c:v>
                </c:pt>
                <c:pt idx="10">
                  <c:v>220</c:v>
                </c:pt>
                <c:pt idx="11">
                  <c:v>220</c:v>
                </c:pt>
                <c:pt idx="13">
                  <c:v>145</c:v>
                </c:pt>
                <c:pt idx="14">
                  <c:v>145</c:v>
                </c:pt>
                <c:pt idx="22">
                  <c:v>75</c:v>
                </c:pt>
                <c:pt idx="23">
                  <c:v>75</c:v>
                </c:pt>
              </c:numCache>
            </c:numRef>
          </c:yVal>
          <c:smooth val="0"/>
          <c:extLst>
            <c:ext xmlns:c16="http://schemas.microsoft.com/office/drawing/2014/chart" uri="{C3380CC4-5D6E-409C-BE32-E72D297353CC}">
              <c16:uniqueId val="{00000007-969B-427E-A353-83DCAC70FFA6}"/>
            </c:ext>
          </c:extLst>
        </c:ser>
        <c:ser>
          <c:idx val="2"/>
          <c:order val="1"/>
          <c:tx>
            <c:strRef>
              <c:f>'InP HEMT'!$J$1</c:f>
              <c:strCache>
                <c:ptCount val="1"/>
                <c:pt idx="0">
                  <c:v>Ft(GHz)</c:v>
                </c:pt>
              </c:strCache>
            </c:strRef>
          </c:tx>
          <c:spPr>
            <a:ln w="19050" cap="rnd">
              <a:noFill/>
              <a:round/>
            </a:ln>
            <a:effectLst/>
          </c:spPr>
          <c:marker>
            <c:symbol val="triangle"/>
            <c:size val="8"/>
          </c:marker>
          <c:xVal>
            <c:numRef>
              <c:f>'InP HEMT'!$F$2:$F$31</c:f>
              <c:numCache>
                <c:formatCode>General</c:formatCode>
                <c:ptCount val="30"/>
                <c:pt idx="1">
                  <c:v>2.5000000000000001E-2</c:v>
                </c:pt>
                <c:pt idx="2">
                  <c:v>2.5000000000000001E-2</c:v>
                </c:pt>
                <c:pt idx="3">
                  <c:v>2.5000000000000001E-2</c:v>
                </c:pt>
                <c:pt idx="4">
                  <c:v>2.5000000000000001E-2</c:v>
                </c:pt>
                <c:pt idx="5">
                  <c:v>2.5000000000000001E-2</c:v>
                </c:pt>
                <c:pt idx="6">
                  <c:v>2.5000000000000001E-2</c:v>
                </c:pt>
                <c:pt idx="7">
                  <c:v>2.5000000000000001E-2</c:v>
                </c:pt>
                <c:pt idx="9">
                  <c:v>2.5000000000000001E-2</c:v>
                </c:pt>
                <c:pt idx="10">
                  <c:v>2.5000000000000001E-2</c:v>
                </c:pt>
                <c:pt idx="11">
                  <c:v>0.03</c:v>
                </c:pt>
                <c:pt idx="12">
                  <c:v>0.1</c:v>
                </c:pt>
                <c:pt idx="14">
                  <c:v>7.4999999999999997E-2</c:v>
                </c:pt>
                <c:pt idx="15">
                  <c:v>0.08</c:v>
                </c:pt>
                <c:pt idx="16">
                  <c:v>0.13</c:v>
                </c:pt>
                <c:pt idx="17">
                  <c:v>0.13</c:v>
                </c:pt>
                <c:pt idx="19">
                  <c:v>3.5000000000000003E-2</c:v>
                </c:pt>
                <c:pt idx="20">
                  <c:v>3.5000000000000003E-2</c:v>
                </c:pt>
                <c:pt idx="21">
                  <c:v>3.5000000000000003E-2</c:v>
                </c:pt>
                <c:pt idx="22">
                  <c:v>3.5000000000000003E-2</c:v>
                </c:pt>
                <c:pt idx="23">
                  <c:v>0.1</c:v>
                </c:pt>
                <c:pt idx="24">
                  <c:v>0.1</c:v>
                </c:pt>
                <c:pt idx="25">
                  <c:v>0.1</c:v>
                </c:pt>
              </c:numCache>
            </c:numRef>
          </c:xVal>
          <c:yVal>
            <c:numRef>
              <c:f>'InP HEMT'!$J$2:$J$31</c:f>
              <c:numCache>
                <c:formatCode>General</c:formatCode>
                <c:ptCount val="30"/>
                <c:pt idx="1">
                  <c:v>610</c:v>
                </c:pt>
                <c:pt idx="2">
                  <c:v>610</c:v>
                </c:pt>
                <c:pt idx="4">
                  <c:v>610</c:v>
                </c:pt>
                <c:pt idx="5">
                  <c:v>610</c:v>
                </c:pt>
                <c:pt idx="6">
                  <c:v>610</c:v>
                </c:pt>
                <c:pt idx="11">
                  <c:v>600</c:v>
                </c:pt>
                <c:pt idx="14">
                  <c:v>320</c:v>
                </c:pt>
                <c:pt idx="19">
                  <c:v>480</c:v>
                </c:pt>
                <c:pt idx="20">
                  <c:v>480</c:v>
                </c:pt>
                <c:pt idx="21">
                  <c:v>480</c:v>
                </c:pt>
                <c:pt idx="22">
                  <c:v>480</c:v>
                </c:pt>
                <c:pt idx="23">
                  <c:v>200</c:v>
                </c:pt>
                <c:pt idx="24">
                  <c:v>200</c:v>
                </c:pt>
                <c:pt idx="25">
                  <c:v>258</c:v>
                </c:pt>
              </c:numCache>
            </c:numRef>
          </c:yVal>
          <c:smooth val="0"/>
          <c:extLst>
            <c:ext xmlns:c16="http://schemas.microsoft.com/office/drawing/2014/chart" uri="{C3380CC4-5D6E-409C-BE32-E72D297353CC}">
              <c16:uniqueId val="{00000008-969B-427E-A353-83DCAC70FFA6}"/>
            </c:ext>
          </c:extLst>
        </c:ser>
        <c:ser>
          <c:idx val="0"/>
          <c:order val="2"/>
          <c:tx>
            <c:strRef>
              <c:f>mHEMT!$J$1</c:f>
              <c:strCache>
                <c:ptCount val="1"/>
                <c:pt idx="0">
                  <c:v>Ft(GHz)</c:v>
                </c:pt>
              </c:strCache>
            </c:strRef>
          </c:tx>
          <c:spPr>
            <a:ln w="19050" cap="rnd">
              <a:noFill/>
              <a:round/>
            </a:ln>
            <a:effectLst/>
          </c:spPr>
          <c:marker>
            <c:symbol val="diamond"/>
            <c:size val="8"/>
            <c:spPr>
              <a:solidFill>
                <a:schemeClr val="accent4"/>
              </a:solidFill>
              <a:ln w="9525">
                <a:solidFill>
                  <a:schemeClr val="accent4"/>
                </a:solidFill>
              </a:ln>
              <a:effectLst/>
            </c:spPr>
          </c:marker>
          <c:xVal>
            <c:numRef>
              <c:f>mHEMT!$F$2:$F$61</c:f>
              <c:numCache>
                <c:formatCode>General</c:formatCode>
                <c:ptCount val="60"/>
                <c:pt idx="0">
                  <c:v>3.5000000000000003E-2</c:v>
                </c:pt>
                <c:pt idx="1">
                  <c:v>3.5000000000000003E-2</c:v>
                </c:pt>
                <c:pt idx="2">
                  <c:v>0.05</c:v>
                </c:pt>
                <c:pt idx="3">
                  <c:v>0.05</c:v>
                </c:pt>
                <c:pt idx="4">
                  <c:v>0.05</c:v>
                </c:pt>
                <c:pt idx="5">
                  <c:v>3.5000000000000003E-2</c:v>
                </c:pt>
                <c:pt idx="6">
                  <c:v>3.5000000000000003E-2</c:v>
                </c:pt>
                <c:pt idx="7">
                  <c:v>0.05</c:v>
                </c:pt>
                <c:pt idx="8">
                  <c:v>0.05</c:v>
                </c:pt>
                <c:pt idx="9">
                  <c:v>0.1</c:v>
                </c:pt>
                <c:pt idx="10">
                  <c:v>3.5000000000000003E-2</c:v>
                </c:pt>
                <c:pt idx="11">
                  <c:v>0.05</c:v>
                </c:pt>
                <c:pt idx="12">
                  <c:v>3.5000000000000003E-2</c:v>
                </c:pt>
                <c:pt idx="13">
                  <c:v>3.5000000000000003E-2</c:v>
                </c:pt>
                <c:pt idx="14">
                  <c:v>0.02</c:v>
                </c:pt>
                <c:pt idx="15">
                  <c:v>0.02</c:v>
                </c:pt>
                <c:pt idx="16">
                  <c:v>0.02</c:v>
                </c:pt>
                <c:pt idx="17">
                  <c:v>0.05</c:v>
                </c:pt>
                <c:pt idx="18">
                  <c:v>0.05</c:v>
                </c:pt>
                <c:pt idx="19">
                  <c:v>0.05</c:v>
                </c:pt>
                <c:pt idx="20">
                  <c:v>0.05</c:v>
                </c:pt>
                <c:pt idx="21">
                  <c:v>3.5000000000000003E-2</c:v>
                </c:pt>
                <c:pt idx="22">
                  <c:v>3.5000000000000003E-2</c:v>
                </c:pt>
                <c:pt idx="23">
                  <c:v>0.05</c:v>
                </c:pt>
                <c:pt idx="24">
                  <c:v>3.5000000000000003E-2</c:v>
                </c:pt>
                <c:pt idx="25">
                  <c:v>0.02</c:v>
                </c:pt>
                <c:pt idx="26">
                  <c:v>3.5000000000000003E-2</c:v>
                </c:pt>
                <c:pt idx="27">
                  <c:v>3.5000000000000003E-2</c:v>
                </c:pt>
                <c:pt idx="28">
                  <c:v>0.05</c:v>
                </c:pt>
                <c:pt idx="29">
                  <c:v>0.1</c:v>
                </c:pt>
                <c:pt idx="30">
                  <c:v>0.05</c:v>
                </c:pt>
                <c:pt idx="31">
                  <c:v>0.05</c:v>
                </c:pt>
                <c:pt idx="32">
                  <c:v>0.05</c:v>
                </c:pt>
                <c:pt idx="33">
                  <c:v>0.1</c:v>
                </c:pt>
                <c:pt idx="34">
                  <c:v>0.05</c:v>
                </c:pt>
                <c:pt idx="35">
                  <c:v>0.1</c:v>
                </c:pt>
                <c:pt idx="36">
                  <c:v>0.05</c:v>
                </c:pt>
                <c:pt idx="37">
                  <c:v>3.5000000000000003E-2</c:v>
                </c:pt>
                <c:pt idx="38">
                  <c:v>0.1</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0.1</c:v>
                </c:pt>
                <c:pt idx="53">
                  <c:v>0.1</c:v>
                </c:pt>
              </c:numCache>
            </c:numRef>
          </c:xVal>
          <c:yVal>
            <c:numRef>
              <c:f>mHEMT!$J$2:$J$61</c:f>
              <c:numCache>
                <c:formatCode>General</c:formatCode>
                <c:ptCount val="60"/>
                <c:pt idx="0">
                  <c:v>500</c:v>
                </c:pt>
                <c:pt idx="1">
                  <c:v>550</c:v>
                </c:pt>
                <c:pt idx="5">
                  <c:v>515</c:v>
                </c:pt>
                <c:pt idx="6">
                  <c:v>515</c:v>
                </c:pt>
                <c:pt idx="7">
                  <c:v>380</c:v>
                </c:pt>
                <c:pt idx="8">
                  <c:v>380</c:v>
                </c:pt>
                <c:pt idx="9">
                  <c:v>220</c:v>
                </c:pt>
                <c:pt idx="10">
                  <c:v>550</c:v>
                </c:pt>
                <c:pt idx="11">
                  <c:v>370</c:v>
                </c:pt>
                <c:pt idx="12">
                  <c:v>515</c:v>
                </c:pt>
                <c:pt idx="13">
                  <c:v>515</c:v>
                </c:pt>
                <c:pt idx="15">
                  <c:v>660</c:v>
                </c:pt>
                <c:pt idx="16">
                  <c:v>660</c:v>
                </c:pt>
                <c:pt idx="17">
                  <c:v>375</c:v>
                </c:pt>
                <c:pt idx="18">
                  <c:v>375</c:v>
                </c:pt>
                <c:pt idx="19">
                  <c:v>370</c:v>
                </c:pt>
                <c:pt idx="20">
                  <c:v>370</c:v>
                </c:pt>
                <c:pt idx="21">
                  <c:v>515</c:v>
                </c:pt>
                <c:pt idx="22">
                  <c:v>515</c:v>
                </c:pt>
                <c:pt idx="23">
                  <c:v>380</c:v>
                </c:pt>
                <c:pt idx="24">
                  <c:v>515</c:v>
                </c:pt>
                <c:pt idx="25">
                  <c:v>660</c:v>
                </c:pt>
                <c:pt idx="26">
                  <c:v>515</c:v>
                </c:pt>
                <c:pt idx="27">
                  <c:v>515</c:v>
                </c:pt>
                <c:pt idx="28">
                  <c:v>380</c:v>
                </c:pt>
                <c:pt idx="31">
                  <c:v>400</c:v>
                </c:pt>
                <c:pt idx="32">
                  <c:v>375</c:v>
                </c:pt>
                <c:pt idx="33">
                  <c:v>220</c:v>
                </c:pt>
                <c:pt idx="34">
                  <c:v>375</c:v>
                </c:pt>
                <c:pt idx="35">
                  <c:v>220</c:v>
                </c:pt>
                <c:pt idx="36">
                  <c:v>400</c:v>
                </c:pt>
                <c:pt idx="37">
                  <c:v>515</c:v>
                </c:pt>
                <c:pt idx="40">
                  <c:v>250</c:v>
                </c:pt>
                <c:pt idx="41">
                  <c:v>250</c:v>
                </c:pt>
                <c:pt idx="42">
                  <c:v>370</c:v>
                </c:pt>
                <c:pt idx="43">
                  <c:v>370</c:v>
                </c:pt>
                <c:pt idx="44">
                  <c:v>370</c:v>
                </c:pt>
                <c:pt idx="45">
                  <c:v>370</c:v>
                </c:pt>
                <c:pt idx="46">
                  <c:v>370</c:v>
                </c:pt>
                <c:pt idx="47">
                  <c:v>370</c:v>
                </c:pt>
                <c:pt idx="48">
                  <c:v>370</c:v>
                </c:pt>
                <c:pt idx="50">
                  <c:v>400</c:v>
                </c:pt>
                <c:pt idx="51">
                  <c:v>400</c:v>
                </c:pt>
              </c:numCache>
            </c:numRef>
          </c:yVal>
          <c:smooth val="0"/>
          <c:extLst>
            <c:ext xmlns:c16="http://schemas.microsoft.com/office/drawing/2014/chart" uri="{C3380CC4-5D6E-409C-BE32-E72D297353CC}">
              <c16:uniqueId val="{00000006-969B-427E-A353-83DCAC70FFA6}"/>
            </c:ext>
          </c:extLst>
        </c:ser>
        <c:dLbls>
          <c:showLegendKey val="0"/>
          <c:showVal val="0"/>
          <c:showCatName val="0"/>
          <c:showSerName val="0"/>
          <c:showPercent val="0"/>
          <c:showBubbleSize val="0"/>
        </c:dLbls>
        <c:axId val="1580592703"/>
        <c:axId val="1580593119"/>
      </c:scatterChart>
      <c:valAx>
        <c:axId val="15805927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vert="horz"/>
              <a:lstStyle/>
              <a:p>
                <a:pPr>
                  <a:defRPr/>
                </a:pPr>
                <a:r>
                  <a:rPr lang="en-US"/>
                  <a:t>Lg (um)</a:t>
                </a:r>
                <a:endParaRPr lang="ja-JP"/>
              </a:p>
            </c:rich>
          </c:tx>
          <c:overlay val="0"/>
          <c:spPr>
            <a:noFill/>
            <a:ln>
              <a:noFill/>
            </a:ln>
            <a:effectLst/>
          </c:spPr>
        </c:title>
        <c:numFmt formatCode="General" sourceLinked="1"/>
        <c:majorTickMark val="in"/>
        <c:minorTickMark val="none"/>
        <c:tickLblPos val="nextTo"/>
        <c:spPr>
          <a:noFill/>
          <a:ln w="9525" cap="flat" cmpd="sng" algn="ctr">
            <a:solidFill>
              <a:schemeClr val="tx1"/>
            </a:solidFill>
            <a:round/>
          </a:ln>
          <a:effectLst/>
        </c:spPr>
        <c:txPr>
          <a:bodyPr rot="-60000000" vert="horz"/>
          <a:lstStyle/>
          <a:p>
            <a:pPr>
              <a:defRPr/>
            </a:pPr>
            <a:endParaRPr lang="ja-JP"/>
          </a:p>
        </c:txPr>
        <c:crossAx val="1580593119"/>
        <c:crosses val="autoZero"/>
        <c:crossBetween val="midCat"/>
      </c:valAx>
      <c:valAx>
        <c:axId val="1580593119"/>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Ft (GHz)</a:t>
                </a:r>
                <a:endParaRPr lang="ja-JP"/>
              </a:p>
            </c:rich>
          </c:tx>
          <c:overlay val="0"/>
          <c:spPr>
            <a:noFill/>
            <a:ln>
              <a:noFill/>
            </a:ln>
            <a:effectLst/>
          </c:spPr>
        </c:title>
        <c:numFmt formatCode="General" sourceLinked="1"/>
        <c:majorTickMark val="in"/>
        <c:minorTickMark val="none"/>
        <c:tickLblPos val="nextTo"/>
        <c:spPr>
          <a:noFill/>
          <a:ln w="9525" cap="flat" cmpd="sng" algn="ctr">
            <a:solidFill>
              <a:schemeClr val="tx1"/>
            </a:solidFill>
            <a:round/>
          </a:ln>
          <a:effectLst/>
        </c:spPr>
        <c:txPr>
          <a:bodyPr rot="-60000000" vert="horz"/>
          <a:lstStyle/>
          <a:p>
            <a:pPr>
              <a:defRPr/>
            </a:pPr>
            <a:endParaRPr lang="ja-JP"/>
          </a:p>
        </c:txPr>
        <c:crossAx val="1580592703"/>
        <c:crosses val="autoZero"/>
        <c:crossBetween val="midCat"/>
      </c:valAx>
      <c:spPr>
        <a:noFill/>
        <a:ln>
          <a:solidFill>
            <a:schemeClr val="tx1"/>
          </a:solidFill>
        </a:ln>
        <a:effectLst/>
      </c:spPr>
    </c:plotArea>
    <c:plotVisOnly val="1"/>
    <c:dispBlanksAs val="gap"/>
    <c:showDLblsOverMax val="0"/>
    <c:extLst/>
  </c:chart>
  <c:txPr>
    <a:bodyPr/>
    <a:lstStyle/>
    <a:p>
      <a:pPr>
        <a:defRPr sz="1200" b="1">
          <a:solidFill>
            <a:sysClr val="windowText" lastClr="000000"/>
          </a:solidFill>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Ft</a:t>
            </a: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ja-JP"/>
        </a:p>
      </c:txPr>
    </c:title>
    <c:autoTitleDeleted val="0"/>
    <c:plotArea>
      <c:layout/>
      <c:scatterChart>
        <c:scatterStyle val="lineMarker"/>
        <c:varyColors val="0"/>
        <c:ser>
          <c:idx val="0"/>
          <c:order val="0"/>
          <c:tx>
            <c:strRef>
              <c:f>'InP HBT'!$J$1</c:f>
              <c:strCache>
                <c:ptCount val="1"/>
                <c:pt idx="0">
                  <c:v>Ft(GHz)</c:v>
                </c:pt>
              </c:strCache>
            </c:strRef>
          </c:tx>
          <c:spPr>
            <a:ln w="19050" cap="rnd">
              <a:noFill/>
              <a:round/>
            </a:ln>
            <a:effectLst/>
          </c:spPr>
          <c:marker>
            <c:symbol val="square"/>
            <c:size val="7"/>
            <c:spPr>
              <a:solidFill>
                <a:schemeClr val="accent1"/>
              </a:solidFill>
              <a:ln w="9525">
                <a:solidFill>
                  <a:schemeClr val="accent1"/>
                </a:solidFill>
              </a:ln>
              <a:effectLst/>
            </c:spPr>
          </c:marker>
          <c:xVal>
            <c:numRef>
              <c:f>'InP HBT'!$F$2:$F$27</c:f>
              <c:numCache>
                <c:formatCode>General</c:formatCode>
                <c:ptCount val="26"/>
                <c:pt idx="0">
                  <c:v>0.25</c:v>
                </c:pt>
                <c:pt idx="1">
                  <c:v>0.25</c:v>
                </c:pt>
                <c:pt idx="2">
                  <c:v>0.25</c:v>
                </c:pt>
                <c:pt idx="3">
                  <c:v>0.5</c:v>
                </c:pt>
                <c:pt idx="4">
                  <c:v>0.8</c:v>
                </c:pt>
                <c:pt idx="5">
                  <c:v>0.25</c:v>
                </c:pt>
                <c:pt idx="6">
                  <c:v>0.5</c:v>
                </c:pt>
                <c:pt idx="7">
                  <c:v>0.25</c:v>
                </c:pt>
                <c:pt idx="8">
                  <c:v>0.13</c:v>
                </c:pt>
                <c:pt idx="9">
                  <c:v>0.13</c:v>
                </c:pt>
                <c:pt idx="10">
                  <c:v>0.13</c:v>
                </c:pt>
                <c:pt idx="11">
                  <c:v>0.25</c:v>
                </c:pt>
                <c:pt idx="12">
                  <c:v>0.25</c:v>
                </c:pt>
                <c:pt idx="13">
                  <c:v>0.25</c:v>
                </c:pt>
                <c:pt idx="14">
                  <c:v>0.25</c:v>
                </c:pt>
                <c:pt idx="15">
                  <c:v>0.25</c:v>
                </c:pt>
                <c:pt idx="16">
                  <c:v>0.25</c:v>
                </c:pt>
                <c:pt idx="17">
                  <c:v>0.25</c:v>
                </c:pt>
                <c:pt idx="18">
                  <c:v>0.125</c:v>
                </c:pt>
                <c:pt idx="19">
                  <c:v>0.25</c:v>
                </c:pt>
              </c:numCache>
            </c:numRef>
          </c:xVal>
          <c:yVal>
            <c:numRef>
              <c:f>'InP HBT'!$J$2:$J$27</c:f>
              <c:numCache>
                <c:formatCode>General</c:formatCode>
                <c:ptCount val="26"/>
                <c:pt idx="0">
                  <c:v>350</c:v>
                </c:pt>
                <c:pt idx="3">
                  <c:v>360</c:v>
                </c:pt>
                <c:pt idx="4">
                  <c:v>350</c:v>
                </c:pt>
                <c:pt idx="5">
                  <c:v>350</c:v>
                </c:pt>
                <c:pt idx="6">
                  <c:v>360</c:v>
                </c:pt>
                <c:pt idx="8">
                  <c:v>521</c:v>
                </c:pt>
                <c:pt idx="9">
                  <c:v>520</c:v>
                </c:pt>
                <c:pt idx="10">
                  <c:v>520</c:v>
                </c:pt>
                <c:pt idx="11">
                  <c:v>350</c:v>
                </c:pt>
                <c:pt idx="12">
                  <c:v>350</c:v>
                </c:pt>
                <c:pt idx="13">
                  <c:v>350</c:v>
                </c:pt>
                <c:pt idx="14">
                  <c:v>350</c:v>
                </c:pt>
                <c:pt idx="15">
                  <c:v>350</c:v>
                </c:pt>
                <c:pt idx="16">
                  <c:v>350</c:v>
                </c:pt>
                <c:pt idx="17">
                  <c:v>350</c:v>
                </c:pt>
                <c:pt idx="19">
                  <c:v>378</c:v>
                </c:pt>
              </c:numCache>
            </c:numRef>
          </c:yVal>
          <c:smooth val="0"/>
          <c:extLst>
            <c:ext xmlns:c16="http://schemas.microsoft.com/office/drawing/2014/chart" uri="{C3380CC4-5D6E-409C-BE32-E72D297353CC}">
              <c16:uniqueId val="{00000000-2893-4090-AF01-5EC5FA5E25A5}"/>
            </c:ext>
          </c:extLst>
        </c:ser>
        <c:dLbls>
          <c:showLegendKey val="0"/>
          <c:showVal val="0"/>
          <c:showCatName val="0"/>
          <c:showSerName val="0"/>
          <c:showPercent val="0"/>
          <c:showBubbleSize val="0"/>
        </c:dLbls>
        <c:axId val="1580577311"/>
        <c:axId val="1580577727"/>
      </c:scatterChart>
      <c:valAx>
        <c:axId val="158057731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Weu (um)</a:t>
                </a:r>
                <a:endParaRPr lang="ja-JP"/>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ja-JP"/>
          </a:p>
        </c:txPr>
        <c:crossAx val="1580577727"/>
        <c:crosses val="autoZero"/>
        <c:crossBetween val="midCat"/>
      </c:valAx>
      <c:valAx>
        <c:axId val="1580577727"/>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Ft (GHz)</a:t>
                </a:r>
                <a:endParaRPr lang="ja-JP"/>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ja-JP"/>
          </a:p>
        </c:txPr>
        <c:crossAx val="158057731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'GaN HEMT'!$W$1</c:f>
              <c:strCache>
                <c:ptCount val="1"/>
                <c:pt idx="0">
                  <c:v>Gain/stage(dB)_GaN HEMT</c:v>
                </c:pt>
              </c:strCache>
            </c:strRef>
          </c:tx>
          <c:spPr>
            <a:ln w="19050" cap="rnd">
              <a:noFill/>
              <a:round/>
            </a:ln>
            <a:effectLst/>
          </c:spPr>
          <c:marker>
            <c:symbol val="circle"/>
            <c:size val="5"/>
            <c:spPr>
              <a:solidFill>
                <a:schemeClr val="accent1"/>
              </a:solidFill>
              <a:ln w="9525">
                <a:solidFill>
                  <a:schemeClr val="accent1"/>
                </a:solidFill>
              </a:ln>
              <a:effectLst/>
            </c:spPr>
          </c:marker>
          <c:xVal>
            <c:numRef>
              <c:f>'GaN HEMT'!$E$2:$E$29</c:f>
              <c:numCache>
                <c:formatCode>General</c:formatCode>
                <c:ptCount val="28"/>
                <c:pt idx="0">
                  <c:v>105.5</c:v>
                </c:pt>
                <c:pt idx="1">
                  <c:v>88</c:v>
                </c:pt>
                <c:pt idx="2">
                  <c:v>104</c:v>
                </c:pt>
                <c:pt idx="3">
                  <c:v>104</c:v>
                </c:pt>
                <c:pt idx="4">
                  <c:v>104</c:v>
                </c:pt>
                <c:pt idx="5">
                  <c:v>84</c:v>
                </c:pt>
                <c:pt idx="7">
                  <c:v>82.5</c:v>
                </c:pt>
                <c:pt idx="8">
                  <c:v>140</c:v>
                </c:pt>
                <c:pt idx="10">
                  <c:v>87.5</c:v>
                </c:pt>
                <c:pt idx="11">
                  <c:v>90</c:v>
                </c:pt>
                <c:pt idx="13">
                  <c:v>79</c:v>
                </c:pt>
                <c:pt idx="14">
                  <c:v>93.5</c:v>
                </c:pt>
                <c:pt idx="16">
                  <c:v>87.5</c:v>
                </c:pt>
                <c:pt idx="17">
                  <c:v>90</c:v>
                </c:pt>
                <c:pt idx="19">
                  <c:v>80.75</c:v>
                </c:pt>
                <c:pt idx="20">
                  <c:v>84.25</c:v>
                </c:pt>
                <c:pt idx="22">
                  <c:v>73.75</c:v>
                </c:pt>
                <c:pt idx="23">
                  <c:v>80</c:v>
                </c:pt>
              </c:numCache>
            </c:numRef>
          </c:xVal>
          <c:yVal>
            <c:numRef>
              <c:f>'GaN HEMT'!$W$2:$W$29</c:f>
              <c:numCache>
                <c:formatCode>0.0</c:formatCode>
                <c:ptCount val="28"/>
                <c:pt idx="0">
                  <c:v>5.74</c:v>
                </c:pt>
                <c:pt idx="1">
                  <c:v>5.625</c:v>
                </c:pt>
                <c:pt idx="2">
                  <c:v>7.4749999999999996</c:v>
                </c:pt>
                <c:pt idx="5">
                  <c:v>5.875</c:v>
                </c:pt>
                <c:pt idx="7">
                  <c:v>4.8</c:v>
                </c:pt>
                <c:pt idx="8">
                  <c:v>4.166666666666667</c:v>
                </c:pt>
                <c:pt idx="10">
                  <c:v>5</c:v>
                </c:pt>
                <c:pt idx="11">
                  <c:v>5</c:v>
                </c:pt>
                <c:pt idx="13">
                  <c:v>4.1124999999999998</c:v>
                </c:pt>
                <c:pt idx="14">
                  <c:v>4.375</c:v>
                </c:pt>
                <c:pt idx="16">
                  <c:v>4.5</c:v>
                </c:pt>
                <c:pt idx="17">
                  <c:v>5</c:v>
                </c:pt>
                <c:pt idx="19">
                  <c:v>6.333333333333333</c:v>
                </c:pt>
                <c:pt idx="20">
                  <c:v>5.25</c:v>
                </c:pt>
                <c:pt idx="22">
                  <c:v>5.6875</c:v>
                </c:pt>
                <c:pt idx="23">
                  <c:v>5.0999999999999996</c:v>
                </c:pt>
              </c:numCache>
            </c:numRef>
          </c:yVal>
          <c:smooth val="0"/>
          <c:extLst>
            <c:ext xmlns:c16="http://schemas.microsoft.com/office/drawing/2014/chart" uri="{C3380CC4-5D6E-409C-BE32-E72D297353CC}">
              <c16:uniqueId val="{00000001-3993-4886-8830-682703589551}"/>
            </c:ext>
          </c:extLst>
        </c:ser>
        <c:dLbls>
          <c:showLegendKey val="0"/>
          <c:showVal val="0"/>
          <c:showCatName val="0"/>
          <c:showSerName val="0"/>
          <c:showPercent val="0"/>
          <c:showBubbleSize val="0"/>
        </c:dLbls>
        <c:axId val="1963761151"/>
        <c:axId val="14750015"/>
      </c:scatterChart>
      <c:valAx>
        <c:axId val="196376115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a:t>
                </a:r>
                <a:r>
                  <a:rPr lang="en-US" altLang="ja-JP" baseline="0"/>
                  <a:t>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750015"/>
        <c:crosses val="autoZero"/>
        <c:crossBetween val="midCat"/>
        <c:minorUnit val="100"/>
      </c:valAx>
      <c:valAx>
        <c:axId val="14750015"/>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Gain/stage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6376115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'GaN HEMT'!$AC$1</c:f>
              <c:strCache>
                <c:ptCount val="1"/>
                <c:pt idx="0">
                  <c:v>NF(dB)_GaN HEMT</c:v>
                </c:pt>
              </c:strCache>
            </c:strRef>
          </c:tx>
          <c:spPr>
            <a:ln w="19050" cap="rnd">
              <a:noFill/>
              <a:round/>
            </a:ln>
            <a:effectLst/>
          </c:spPr>
          <c:marker>
            <c:symbol val="circle"/>
            <c:size val="5"/>
            <c:spPr>
              <a:solidFill>
                <a:schemeClr val="accent1"/>
              </a:solidFill>
              <a:ln w="9525">
                <a:solidFill>
                  <a:schemeClr val="accent1"/>
                </a:solidFill>
              </a:ln>
              <a:effectLst/>
            </c:spPr>
          </c:marker>
          <c:xVal>
            <c:numRef>
              <c:f>'GaN HEMT'!$E$2:$E$29</c:f>
              <c:numCache>
                <c:formatCode>General</c:formatCode>
                <c:ptCount val="28"/>
                <c:pt idx="0">
                  <c:v>105.5</c:v>
                </c:pt>
                <c:pt idx="1">
                  <c:v>88</c:v>
                </c:pt>
                <c:pt idx="2">
                  <c:v>104</c:v>
                </c:pt>
                <c:pt idx="3">
                  <c:v>104</c:v>
                </c:pt>
                <c:pt idx="4">
                  <c:v>104</c:v>
                </c:pt>
                <c:pt idx="5">
                  <c:v>84</c:v>
                </c:pt>
                <c:pt idx="7">
                  <c:v>82.5</c:v>
                </c:pt>
                <c:pt idx="8">
                  <c:v>140</c:v>
                </c:pt>
                <c:pt idx="10">
                  <c:v>87.5</c:v>
                </c:pt>
                <c:pt idx="11">
                  <c:v>90</c:v>
                </c:pt>
                <c:pt idx="13">
                  <c:v>79</c:v>
                </c:pt>
                <c:pt idx="14">
                  <c:v>93.5</c:v>
                </c:pt>
                <c:pt idx="16">
                  <c:v>87.5</c:v>
                </c:pt>
                <c:pt idx="17">
                  <c:v>90</c:v>
                </c:pt>
                <c:pt idx="19">
                  <c:v>80.75</c:v>
                </c:pt>
                <c:pt idx="20">
                  <c:v>84.25</c:v>
                </c:pt>
                <c:pt idx="22">
                  <c:v>73.75</c:v>
                </c:pt>
                <c:pt idx="23">
                  <c:v>80</c:v>
                </c:pt>
              </c:numCache>
            </c:numRef>
          </c:xVal>
          <c:yVal>
            <c:numRef>
              <c:f>'GaN HEMT'!$AC$2:$AC$29</c:f>
              <c:numCache>
                <c:formatCode>General</c:formatCode>
                <c:ptCount val="28"/>
                <c:pt idx="0">
                  <c:v>3.7</c:v>
                </c:pt>
                <c:pt idx="1">
                  <c:v>3.05</c:v>
                </c:pt>
                <c:pt idx="3">
                  <c:v>7.6</c:v>
                </c:pt>
                <c:pt idx="5">
                  <c:v>5.6</c:v>
                </c:pt>
                <c:pt idx="7">
                  <c:v>4</c:v>
                </c:pt>
                <c:pt idx="8">
                  <c:v>6</c:v>
                </c:pt>
                <c:pt idx="10">
                  <c:v>2.75</c:v>
                </c:pt>
                <c:pt idx="11">
                  <c:v>2.1</c:v>
                </c:pt>
                <c:pt idx="13">
                  <c:v>3.85</c:v>
                </c:pt>
                <c:pt idx="14">
                  <c:v>3.55</c:v>
                </c:pt>
                <c:pt idx="16">
                  <c:v>4.5</c:v>
                </c:pt>
                <c:pt idx="17">
                  <c:v>3.25</c:v>
                </c:pt>
                <c:pt idx="19">
                  <c:v>4.25</c:v>
                </c:pt>
                <c:pt idx="20">
                  <c:v>4.8499999999999996</c:v>
                </c:pt>
              </c:numCache>
            </c:numRef>
          </c:yVal>
          <c:smooth val="0"/>
          <c:extLst>
            <c:ext xmlns:c16="http://schemas.microsoft.com/office/drawing/2014/chart" uri="{C3380CC4-5D6E-409C-BE32-E72D297353CC}">
              <c16:uniqueId val="{00000001-943F-4DD9-A73E-F786EDCCEE95}"/>
            </c:ext>
          </c:extLst>
        </c:ser>
        <c:dLbls>
          <c:showLegendKey val="0"/>
          <c:showVal val="0"/>
          <c:showCatName val="0"/>
          <c:showSerName val="0"/>
          <c:showPercent val="0"/>
          <c:showBubbleSize val="0"/>
        </c:dLbls>
        <c:axId val="7611631"/>
        <c:axId val="7610799"/>
      </c:scatterChart>
      <c:valAx>
        <c:axId val="761163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99"/>
        <c:crosses val="autoZero"/>
        <c:crossBetween val="midCat"/>
        <c:minorUnit val="100"/>
      </c:valAx>
      <c:valAx>
        <c:axId val="7610799"/>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NF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163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'GaN HEMT'!$J$1</c:f>
              <c:strCache>
                <c:ptCount val="1"/>
                <c:pt idx="0">
                  <c:v>Ft(GHz)</c:v>
                </c:pt>
              </c:strCache>
            </c:strRef>
          </c:tx>
          <c:spPr>
            <a:ln w="19050" cap="rnd">
              <a:noFill/>
              <a:round/>
            </a:ln>
            <a:effectLst/>
          </c:spPr>
          <c:marker>
            <c:symbol val="circle"/>
            <c:size val="5"/>
            <c:spPr>
              <a:solidFill>
                <a:schemeClr val="accent1"/>
              </a:solidFill>
              <a:ln w="9525">
                <a:solidFill>
                  <a:schemeClr val="accent1"/>
                </a:solidFill>
              </a:ln>
              <a:effectLst/>
            </c:spPr>
          </c:marker>
          <c:xVal>
            <c:numRef>
              <c:f>'GaN HEMT'!$F$2:$F$29</c:f>
              <c:numCache>
                <c:formatCode>General</c:formatCode>
                <c:ptCount val="28"/>
                <c:pt idx="0">
                  <c:v>7.0000000000000007E-2</c:v>
                </c:pt>
                <c:pt idx="1">
                  <c:v>7.0000000000000007E-2</c:v>
                </c:pt>
                <c:pt idx="2">
                  <c:v>0.1</c:v>
                </c:pt>
                <c:pt idx="3">
                  <c:v>0.1</c:v>
                </c:pt>
                <c:pt idx="4">
                  <c:v>0.1</c:v>
                </c:pt>
                <c:pt idx="5">
                  <c:v>0.1</c:v>
                </c:pt>
                <c:pt idx="7">
                  <c:v>0.04</c:v>
                </c:pt>
                <c:pt idx="8">
                  <c:v>0.04</c:v>
                </c:pt>
                <c:pt idx="9">
                  <c:v>0.02</c:v>
                </c:pt>
                <c:pt idx="10">
                  <c:v>0.04</c:v>
                </c:pt>
                <c:pt idx="11">
                  <c:v>0.04</c:v>
                </c:pt>
                <c:pt idx="13">
                  <c:v>0.09</c:v>
                </c:pt>
                <c:pt idx="14">
                  <c:v>0.09</c:v>
                </c:pt>
                <c:pt idx="16">
                  <c:v>0.1</c:v>
                </c:pt>
                <c:pt idx="17">
                  <c:v>0.1</c:v>
                </c:pt>
                <c:pt idx="19">
                  <c:v>0.1</c:v>
                </c:pt>
                <c:pt idx="20">
                  <c:v>0.1</c:v>
                </c:pt>
                <c:pt idx="22">
                  <c:v>0.12</c:v>
                </c:pt>
                <c:pt idx="23">
                  <c:v>0.12</c:v>
                </c:pt>
              </c:numCache>
            </c:numRef>
          </c:xVal>
          <c:yVal>
            <c:numRef>
              <c:f>'GaN HEMT'!$J$2:$J$29</c:f>
              <c:numCache>
                <c:formatCode>General</c:formatCode>
                <c:ptCount val="28"/>
                <c:pt idx="0">
                  <c:v>145</c:v>
                </c:pt>
                <c:pt idx="1">
                  <c:v>145</c:v>
                </c:pt>
                <c:pt idx="2">
                  <c:v>110</c:v>
                </c:pt>
                <c:pt idx="3">
                  <c:v>110</c:v>
                </c:pt>
                <c:pt idx="4">
                  <c:v>110</c:v>
                </c:pt>
                <c:pt idx="5">
                  <c:v>80</c:v>
                </c:pt>
                <c:pt idx="7">
                  <c:v>200</c:v>
                </c:pt>
                <c:pt idx="8">
                  <c:v>200</c:v>
                </c:pt>
                <c:pt idx="9">
                  <c:v>320</c:v>
                </c:pt>
                <c:pt idx="10">
                  <c:v>220</c:v>
                </c:pt>
                <c:pt idx="11">
                  <c:v>220</c:v>
                </c:pt>
                <c:pt idx="13">
                  <c:v>145</c:v>
                </c:pt>
                <c:pt idx="14">
                  <c:v>145</c:v>
                </c:pt>
                <c:pt idx="22">
                  <c:v>75</c:v>
                </c:pt>
                <c:pt idx="23">
                  <c:v>75</c:v>
                </c:pt>
              </c:numCache>
            </c:numRef>
          </c:yVal>
          <c:smooth val="0"/>
          <c:extLst>
            <c:ext xmlns:c16="http://schemas.microsoft.com/office/drawing/2014/chart" uri="{C3380CC4-5D6E-409C-BE32-E72D297353CC}">
              <c16:uniqueId val="{00000000-C5F9-49A6-BEFF-0C3AA58D8DFE}"/>
            </c:ext>
          </c:extLst>
        </c:ser>
        <c:dLbls>
          <c:showLegendKey val="0"/>
          <c:showVal val="0"/>
          <c:showCatName val="0"/>
          <c:showSerName val="0"/>
          <c:showPercent val="0"/>
          <c:showBubbleSize val="0"/>
        </c:dLbls>
        <c:axId val="1546229167"/>
        <c:axId val="1546230415"/>
      </c:scatterChart>
      <c:valAx>
        <c:axId val="1546229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Lg (um)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6230415"/>
        <c:crosses val="autoZero"/>
        <c:crossBetween val="midCat"/>
      </c:valAx>
      <c:valAx>
        <c:axId val="1546230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Ft (GHz)</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6229167"/>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'GaN HEMT'!$AI$1</c:f>
              <c:strCache>
                <c:ptCount val="1"/>
                <c:pt idx="0">
                  <c:v>Size(mm2)</c:v>
                </c:pt>
              </c:strCache>
            </c:strRef>
          </c:tx>
          <c:spPr>
            <a:ln w="25400" cap="rnd">
              <a:noFill/>
              <a:round/>
            </a:ln>
            <a:effectLst/>
          </c:spPr>
          <c:marker>
            <c:symbol val="circle"/>
            <c:size val="5"/>
            <c:spPr>
              <a:solidFill>
                <a:schemeClr val="accent1"/>
              </a:solidFill>
              <a:ln w="9525">
                <a:solidFill>
                  <a:schemeClr val="accent1"/>
                </a:solidFill>
              </a:ln>
              <a:effectLst/>
            </c:spPr>
          </c:marker>
          <c:xVal>
            <c:numRef>
              <c:f>'GaN HEMT'!$E$2:$E$29</c:f>
              <c:numCache>
                <c:formatCode>General</c:formatCode>
                <c:ptCount val="28"/>
                <c:pt idx="0">
                  <c:v>105.5</c:v>
                </c:pt>
                <c:pt idx="1">
                  <c:v>88</c:v>
                </c:pt>
                <c:pt idx="2">
                  <c:v>104</c:v>
                </c:pt>
                <c:pt idx="3">
                  <c:v>104</c:v>
                </c:pt>
                <c:pt idx="4">
                  <c:v>104</c:v>
                </c:pt>
                <c:pt idx="5">
                  <c:v>84</c:v>
                </c:pt>
                <c:pt idx="7">
                  <c:v>82.5</c:v>
                </c:pt>
                <c:pt idx="8">
                  <c:v>140</c:v>
                </c:pt>
                <c:pt idx="10">
                  <c:v>87.5</c:v>
                </c:pt>
                <c:pt idx="11">
                  <c:v>90</c:v>
                </c:pt>
                <c:pt idx="13">
                  <c:v>79</c:v>
                </c:pt>
                <c:pt idx="14">
                  <c:v>93.5</c:v>
                </c:pt>
                <c:pt idx="16">
                  <c:v>87.5</c:v>
                </c:pt>
                <c:pt idx="17">
                  <c:v>90</c:v>
                </c:pt>
                <c:pt idx="19">
                  <c:v>80.75</c:v>
                </c:pt>
                <c:pt idx="20">
                  <c:v>84.25</c:v>
                </c:pt>
                <c:pt idx="22">
                  <c:v>73.75</c:v>
                </c:pt>
                <c:pt idx="23">
                  <c:v>80</c:v>
                </c:pt>
              </c:numCache>
            </c:numRef>
          </c:xVal>
          <c:yVal>
            <c:numRef>
              <c:f>'GaN HEMT'!$AI$2:$AI$29</c:f>
              <c:numCache>
                <c:formatCode>General</c:formatCode>
                <c:ptCount val="28"/>
                <c:pt idx="0">
                  <c:v>3.5</c:v>
                </c:pt>
                <c:pt idx="1">
                  <c:v>2</c:v>
                </c:pt>
                <c:pt idx="2">
                  <c:v>3</c:v>
                </c:pt>
                <c:pt idx="3">
                  <c:v>3</c:v>
                </c:pt>
                <c:pt idx="4">
                  <c:v>3</c:v>
                </c:pt>
                <c:pt idx="5">
                  <c:v>2.5</c:v>
                </c:pt>
                <c:pt idx="7">
                  <c:v>6.625</c:v>
                </c:pt>
                <c:pt idx="8">
                  <c:v>2.1</c:v>
                </c:pt>
                <c:pt idx="10">
                  <c:v>3.9000000000000004</c:v>
                </c:pt>
                <c:pt idx="11">
                  <c:v>2.6</c:v>
                </c:pt>
                <c:pt idx="13">
                  <c:v>3.12</c:v>
                </c:pt>
                <c:pt idx="14">
                  <c:v>3.12</c:v>
                </c:pt>
                <c:pt idx="16">
                  <c:v>2.6</c:v>
                </c:pt>
                <c:pt idx="17">
                  <c:v>2.6</c:v>
                </c:pt>
                <c:pt idx="19">
                  <c:v>4.8000000000000007</c:v>
                </c:pt>
                <c:pt idx="20">
                  <c:v>4.1999999999999993</c:v>
                </c:pt>
                <c:pt idx="22">
                  <c:v>4.1999999999999993</c:v>
                </c:pt>
                <c:pt idx="23">
                  <c:v>4.1999999999999993</c:v>
                </c:pt>
              </c:numCache>
            </c:numRef>
          </c:yVal>
          <c:smooth val="0"/>
          <c:extLst>
            <c:ext xmlns:c16="http://schemas.microsoft.com/office/drawing/2014/chart" uri="{C3380CC4-5D6E-409C-BE32-E72D297353CC}">
              <c16:uniqueId val="{00000000-88C4-47E3-8682-B27096CBA1AD}"/>
            </c:ext>
          </c:extLst>
        </c:ser>
        <c:dLbls>
          <c:showLegendKey val="0"/>
          <c:showVal val="0"/>
          <c:showCatName val="0"/>
          <c:showSerName val="0"/>
          <c:showPercent val="0"/>
          <c:showBubbleSize val="0"/>
        </c:dLbls>
        <c:axId val="1546229167"/>
        <c:axId val="1546230415"/>
      </c:scatterChart>
      <c:valAx>
        <c:axId val="1546229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 (GHz)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6230415"/>
        <c:crosses val="autoZero"/>
        <c:crossBetween val="midCat"/>
      </c:valAx>
      <c:valAx>
        <c:axId val="15462304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Size (mm2)</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6229167"/>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'InP HEMT'!$W$1</c:f>
              <c:strCache>
                <c:ptCount val="1"/>
                <c:pt idx="0">
                  <c:v>Gain/stage(dB)_InP HEMT</c:v>
                </c:pt>
              </c:strCache>
            </c:strRef>
          </c:tx>
          <c:spPr>
            <a:ln w="19050" cap="rnd">
              <a:noFill/>
              <a:round/>
            </a:ln>
            <a:effectLst/>
          </c:spPr>
          <c:marker>
            <c:symbol val="circle"/>
            <c:size val="5"/>
            <c:spPr>
              <a:solidFill>
                <a:schemeClr val="accent1"/>
              </a:solidFill>
              <a:ln w="9525">
                <a:solidFill>
                  <a:schemeClr val="accent1"/>
                </a:solidFill>
              </a:ln>
              <a:effectLst/>
            </c:spPr>
          </c:marker>
          <c:xVal>
            <c:numRef>
              <c:f>'InP HEMT'!$E$2:$E$31</c:f>
              <c:numCache>
                <c:formatCode>General</c:formatCode>
                <c:ptCount val="30"/>
                <c:pt idx="0">
                  <c:v>220</c:v>
                </c:pt>
                <c:pt idx="1">
                  <c:v>850</c:v>
                </c:pt>
                <c:pt idx="2">
                  <c:v>1000</c:v>
                </c:pt>
                <c:pt idx="3">
                  <c:v>668</c:v>
                </c:pt>
                <c:pt idx="4">
                  <c:v>669.5</c:v>
                </c:pt>
                <c:pt idx="5">
                  <c:v>1000</c:v>
                </c:pt>
                <c:pt idx="6">
                  <c:v>850</c:v>
                </c:pt>
                <c:pt idx="7">
                  <c:v>850</c:v>
                </c:pt>
                <c:pt idx="8">
                  <c:v>225</c:v>
                </c:pt>
                <c:pt idx="9">
                  <c:v>850</c:v>
                </c:pt>
                <c:pt idx="10">
                  <c:v>425</c:v>
                </c:pt>
                <c:pt idx="11">
                  <c:v>670</c:v>
                </c:pt>
                <c:pt idx="12">
                  <c:v>94</c:v>
                </c:pt>
                <c:pt idx="14">
                  <c:v>300</c:v>
                </c:pt>
                <c:pt idx="15">
                  <c:v>89</c:v>
                </c:pt>
                <c:pt idx="16">
                  <c:v>85.5</c:v>
                </c:pt>
                <c:pt idx="17">
                  <c:v>94</c:v>
                </c:pt>
                <c:pt idx="19">
                  <c:v>83</c:v>
                </c:pt>
                <c:pt idx="20">
                  <c:v>87.5</c:v>
                </c:pt>
                <c:pt idx="21">
                  <c:v>83.5</c:v>
                </c:pt>
                <c:pt idx="22">
                  <c:v>83.5</c:v>
                </c:pt>
                <c:pt idx="23">
                  <c:v>90</c:v>
                </c:pt>
                <c:pt idx="24">
                  <c:v>94</c:v>
                </c:pt>
                <c:pt idx="25">
                  <c:v>96</c:v>
                </c:pt>
              </c:numCache>
            </c:numRef>
          </c:xVal>
          <c:yVal>
            <c:numRef>
              <c:f>'InP HEMT'!$W$2:$W$31</c:f>
              <c:numCache>
                <c:formatCode>0.00_);[Red]\(0.00\)</c:formatCode>
                <c:ptCount val="30"/>
                <c:pt idx="1">
                  <c:v>1.24</c:v>
                </c:pt>
                <c:pt idx="2">
                  <c:v>1</c:v>
                </c:pt>
                <c:pt idx="3">
                  <c:v>3.4375</c:v>
                </c:pt>
                <c:pt idx="4">
                  <c:v>2</c:v>
                </c:pt>
                <c:pt idx="5">
                  <c:v>0.9</c:v>
                </c:pt>
                <c:pt idx="6">
                  <c:v>1.35</c:v>
                </c:pt>
                <c:pt idx="7">
                  <c:v>1.3599999999999999</c:v>
                </c:pt>
                <c:pt idx="8">
                  <c:v>5.625</c:v>
                </c:pt>
                <c:pt idx="9">
                  <c:v>0.55555555555555558</c:v>
                </c:pt>
                <c:pt idx="10">
                  <c:v>5.5</c:v>
                </c:pt>
                <c:pt idx="11">
                  <c:v>1.4</c:v>
                </c:pt>
                <c:pt idx="12">
                  <c:v>6.4666666666666659</c:v>
                </c:pt>
                <c:pt idx="14">
                  <c:v>5</c:v>
                </c:pt>
                <c:pt idx="15">
                  <c:v>5.5</c:v>
                </c:pt>
                <c:pt idx="17">
                  <c:v>5</c:v>
                </c:pt>
                <c:pt idx="19">
                  <c:v>8.1666666666666661</c:v>
                </c:pt>
                <c:pt idx="20">
                  <c:v>8</c:v>
                </c:pt>
                <c:pt idx="21">
                  <c:v>10.633333333333333</c:v>
                </c:pt>
                <c:pt idx="22">
                  <c:v>9.3333333333333339</c:v>
                </c:pt>
                <c:pt idx="23">
                  <c:v>6</c:v>
                </c:pt>
                <c:pt idx="25">
                  <c:v>4.24</c:v>
                </c:pt>
              </c:numCache>
            </c:numRef>
          </c:yVal>
          <c:smooth val="0"/>
          <c:extLst>
            <c:ext xmlns:c16="http://schemas.microsoft.com/office/drawing/2014/chart" uri="{C3380CC4-5D6E-409C-BE32-E72D297353CC}">
              <c16:uniqueId val="{00000000-1B57-479A-9CA8-B9EE84CE867F}"/>
            </c:ext>
          </c:extLst>
        </c:ser>
        <c:dLbls>
          <c:showLegendKey val="0"/>
          <c:showVal val="0"/>
          <c:showCatName val="0"/>
          <c:showSerName val="0"/>
          <c:showPercent val="0"/>
          <c:showBubbleSize val="0"/>
        </c:dLbls>
        <c:axId val="1963761151"/>
        <c:axId val="14750015"/>
      </c:scatterChart>
      <c:valAx>
        <c:axId val="196376115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Frequency</a:t>
                </a:r>
                <a:r>
                  <a:rPr lang="en-US" altLang="ja-JP" baseline="0"/>
                  <a:t> (GHz)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750015"/>
        <c:crosses val="autoZero"/>
        <c:crossBetween val="midCat"/>
        <c:minorUnit val="100"/>
      </c:valAx>
      <c:valAx>
        <c:axId val="14750015"/>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Gain/stage (dB)</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63761151"/>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633600</xdr:colOff>
      <xdr:row>23</xdr:row>
      <xdr:rowOff>161250</xdr:rowOff>
    </xdr:to>
    <xdr:graphicFrame macro="">
      <xdr:nvGraphicFramePr>
        <xdr:cNvPr id="2" name="グラフ 1">
          <a:extLst>
            <a:ext uri="{FF2B5EF4-FFF2-40B4-BE49-F238E27FC236}">
              <a16:creationId xmlns:a16="http://schemas.microsoft.com/office/drawing/2014/main" id="{4BC71429-B60D-4313-9EFD-250C7C66D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0</xdr:row>
      <xdr:rowOff>228600</xdr:rowOff>
    </xdr:from>
    <xdr:to>
      <xdr:col>19</xdr:col>
      <xdr:colOff>547875</xdr:colOff>
      <xdr:row>23</xdr:row>
      <xdr:rowOff>151725</xdr:rowOff>
    </xdr:to>
    <xdr:graphicFrame macro="">
      <xdr:nvGraphicFramePr>
        <xdr:cNvPr id="3" name="グラフ 2">
          <a:extLst>
            <a:ext uri="{FF2B5EF4-FFF2-40B4-BE49-F238E27FC236}">
              <a16:creationId xmlns:a16="http://schemas.microsoft.com/office/drawing/2014/main" id="{95525FE1-694E-4231-82D7-E2166C6B1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21</xdr:col>
      <xdr:colOff>0</xdr:colOff>
      <xdr:row>1</xdr:row>
      <xdr:rowOff>0</xdr:rowOff>
    </xdr:from>
    <xdr:to>
      <xdr:col>29</xdr:col>
      <xdr:colOff>633600</xdr:colOff>
      <xdr:row>23</xdr:row>
      <xdr:rowOff>161250</xdr:rowOff>
    </xdr:to>
    <xdr:graphicFrame macro="">
      <xdr:nvGraphicFramePr>
        <xdr:cNvPr id="4" name="グラフ 3">
          <a:extLst>
            <a:ext uri="{FF2B5EF4-FFF2-40B4-BE49-F238E27FC236}">
              <a16:creationId xmlns:a16="http://schemas.microsoft.com/office/drawing/2014/main" id="{53CD6AB4-0A50-45CF-9FBE-BEBDB80F1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152400</xdr:colOff>
      <xdr:row>1</xdr:row>
      <xdr:rowOff>9525</xdr:rowOff>
    </xdr:from>
    <xdr:to>
      <xdr:col>39</xdr:col>
      <xdr:colOff>100200</xdr:colOff>
      <xdr:row>23</xdr:row>
      <xdr:rowOff>170775</xdr:rowOff>
    </xdr:to>
    <xdr:graphicFrame macro="">
      <xdr:nvGraphicFramePr>
        <xdr:cNvPr id="5" name="グラフ 4">
          <a:extLst>
            <a:ext uri="{FF2B5EF4-FFF2-40B4-BE49-F238E27FC236}">
              <a16:creationId xmlns:a16="http://schemas.microsoft.com/office/drawing/2014/main" id="{98019154-5488-4868-AEBE-33C3702AD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127000</xdr:colOff>
      <xdr:row>30</xdr:row>
      <xdr:rowOff>76200</xdr:rowOff>
    </xdr:from>
    <xdr:to>
      <xdr:col>7</xdr:col>
      <xdr:colOff>50800</xdr:colOff>
      <xdr:row>41</xdr:row>
      <xdr:rowOff>165100</xdr:rowOff>
    </xdr:to>
    <xdr:graphicFrame macro="">
      <xdr:nvGraphicFramePr>
        <xdr:cNvPr id="2" name="グラフ 1">
          <a:extLst>
            <a:ext uri="{FF2B5EF4-FFF2-40B4-BE49-F238E27FC236}">
              <a16:creationId xmlns:a16="http://schemas.microsoft.com/office/drawing/2014/main" id="{71B6D5E4-D0CF-40BA-86F0-C47AD69E66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292100</xdr:colOff>
      <xdr:row>30</xdr:row>
      <xdr:rowOff>101600</xdr:rowOff>
    </xdr:from>
    <xdr:to>
      <xdr:col>11</xdr:col>
      <xdr:colOff>1231900</xdr:colOff>
      <xdr:row>41</xdr:row>
      <xdr:rowOff>190500</xdr:rowOff>
    </xdr:to>
    <xdr:graphicFrame macro="">
      <xdr:nvGraphicFramePr>
        <xdr:cNvPr id="3" name="グラフ 2">
          <a:extLst>
            <a:ext uri="{FF2B5EF4-FFF2-40B4-BE49-F238E27FC236}">
              <a16:creationId xmlns:a16="http://schemas.microsoft.com/office/drawing/2014/main" id="{0540AB4B-C0BE-4F36-982A-38B6BA4AD8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190500</xdr:colOff>
      <xdr:row>30</xdr:row>
      <xdr:rowOff>114308</xdr:rowOff>
    </xdr:from>
    <xdr:to>
      <xdr:col>18</xdr:col>
      <xdr:colOff>330200</xdr:colOff>
      <xdr:row>41</xdr:row>
      <xdr:rowOff>203208</xdr:rowOff>
    </xdr:to>
    <xdr:graphicFrame macro="">
      <xdr:nvGraphicFramePr>
        <xdr:cNvPr id="4" name="グラフ 3">
          <a:extLst>
            <a:ext uri="{FF2B5EF4-FFF2-40B4-BE49-F238E27FC236}">
              <a16:creationId xmlns:a16="http://schemas.microsoft.com/office/drawing/2014/main" id="{92993EE5-230F-41C6-B04C-87CBDB3391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640080</xdr:colOff>
      <xdr:row>30</xdr:row>
      <xdr:rowOff>121920</xdr:rowOff>
    </xdr:from>
    <xdr:to>
      <xdr:col>22</xdr:col>
      <xdr:colOff>993140</xdr:colOff>
      <xdr:row>41</xdr:row>
      <xdr:rowOff>210820</xdr:rowOff>
    </xdr:to>
    <xdr:graphicFrame macro="">
      <xdr:nvGraphicFramePr>
        <xdr:cNvPr id="5" name="グラフ 4">
          <a:extLst>
            <a:ext uri="{FF2B5EF4-FFF2-40B4-BE49-F238E27FC236}">
              <a16:creationId xmlns:a16="http://schemas.microsoft.com/office/drawing/2014/main" id="{323694A0-81FB-4674-80C3-03C734F50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203200</xdr:colOff>
      <xdr:row>32</xdr:row>
      <xdr:rowOff>38100</xdr:rowOff>
    </xdr:from>
    <xdr:to>
      <xdr:col>7</xdr:col>
      <xdr:colOff>127000</xdr:colOff>
      <xdr:row>43</xdr:row>
      <xdr:rowOff>127000</xdr:rowOff>
    </xdr:to>
    <xdr:graphicFrame macro="">
      <xdr:nvGraphicFramePr>
        <xdr:cNvPr id="6" name="グラフ 5">
          <a:extLst>
            <a:ext uri="{FF2B5EF4-FFF2-40B4-BE49-F238E27FC236}">
              <a16:creationId xmlns:a16="http://schemas.microsoft.com/office/drawing/2014/main" id="{BA7BF3CA-394F-4FCF-A641-8F5E34603D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381000</xdr:colOff>
      <xdr:row>32</xdr:row>
      <xdr:rowOff>11112</xdr:rowOff>
    </xdr:from>
    <xdr:to>
      <xdr:col>12</xdr:col>
      <xdr:colOff>0</xdr:colOff>
      <xdr:row>43</xdr:row>
      <xdr:rowOff>100012</xdr:rowOff>
    </xdr:to>
    <xdr:graphicFrame macro="">
      <xdr:nvGraphicFramePr>
        <xdr:cNvPr id="7" name="グラフ 6">
          <a:extLst>
            <a:ext uri="{FF2B5EF4-FFF2-40B4-BE49-F238E27FC236}">
              <a16:creationId xmlns:a16="http://schemas.microsoft.com/office/drawing/2014/main" id="{31715D55-CE85-49E1-9283-88596E330D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254000</xdr:colOff>
      <xdr:row>32</xdr:row>
      <xdr:rowOff>8</xdr:rowOff>
    </xdr:from>
    <xdr:to>
      <xdr:col>18</xdr:col>
      <xdr:colOff>50800</xdr:colOff>
      <xdr:row>43</xdr:row>
      <xdr:rowOff>88908</xdr:rowOff>
    </xdr:to>
    <xdr:graphicFrame macro="">
      <xdr:nvGraphicFramePr>
        <xdr:cNvPr id="3" name="グラフ 2">
          <a:extLst>
            <a:ext uri="{FF2B5EF4-FFF2-40B4-BE49-F238E27FC236}">
              <a16:creationId xmlns:a16="http://schemas.microsoft.com/office/drawing/2014/main" id="{B3C0CD5E-E7C9-44E6-AD04-C1F4DF507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315686</xdr:colOff>
      <xdr:row>32</xdr:row>
      <xdr:rowOff>0</xdr:rowOff>
    </xdr:from>
    <xdr:to>
      <xdr:col>22</xdr:col>
      <xdr:colOff>740228</xdr:colOff>
      <xdr:row>43</xdr:row>
      <xdr:rowOff>88900</xdr:rowOff>
    </xdr:to>
    <xdr:graphicFrame macro="">
      <xdr:nvGraphicFramePr>
        <xdr:cNvPr id="5" name="グラフ 4">
          <a:extLst>
            <a:ext uri="{FF2B5EF4-FFF2-40B4-BE49-F238E27FC236}">
              <a16:creationId xmlns:a16="http://schemas.microsoft.com/office/drawing/2014/main" id="{884B6472-F08F-4042-94AC-DA5C7DD30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62</xdr:row>
      <xdr:rowOff>76200</xdr:rowOff>
    </xdr:from>
    <xdr:to>
      <xdr:col>7</xdr:col>
      <xdr:colOff>114300</xdr:colOff>
      <xdr:row>73</xdr:row>
      <xdr:rowOff>165100</xdr:rowOff>
    </xdr:to>
    <xdr:graphicFrame macro="">
      <xdr:nvGraphicFramePr>
        <xdr:cNvPr id="2" name="グラフ 1">
          <a:extLst>
            <a:ext uri="{FF2B5EF4-FFF2-40B4-BE49-F238E27FC236}">
              <a16:creationId xmlns:a16="http://schemas.microsoft.com/office/drawing/2014/main" id="{62AECB66-CE23-4945-9A44-8AF1CCE994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368300</xdr:colOff>
      <xdr:row>62</xdr:row>
      <xdr:rowOff>88900</xdr:rowOff>
    </xdr:from>
    <xdr:to>
      <xdr:col>11</xdr:col>
      <xdr:colOff>1308100</xdr:colOff>
      <xdr:row>73</xdr:row>
      <xdr:rowOff>177800</xdr:rowOff>
    </xdr:to>
    <xdr:graphicFrame macro="">
      <xdr:nvGraphicFramePr>
        <xdr:cNvPr id="3" name="グラフ 2">
          <a:extLst>
            <a:ext uri="{FF2B5EF4-FFF2-40B4-BE49-F238E27FC236}">
              <a16:creationId xmlns:a16="http://schemas.microsoft.com/office/drawing/2014/main" id="{B115A792-BD48-4B52-B207-351BE5DF2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254000</xdr:colOff>
      <xdr:row>62</xdr:row>
      <xdr:rowOff>120649</xdr:rowOff>
    </xdr:from>
    <xdr:to>
      <xdr:col>18</xdr:col>
      <xdr:colOff>50800</xdr:colOff>
      <xdr:row>73</xdr:row>
      <xdr:rowOff>209549</xdr:rowOff>
    </xdr:to>
    <xdr:graphicFrame macro="">
      <xdr:nvGraphicFramePr>
        <xdr:cNvPr id="5" name="グラフ 4">
          <a:extLst>
            <a:ext uri="{FF2B5EF4-FFF2-40B4-BE49-F238E27FC236}">
              <a16:creationId xmlns:a16="http://schemas.microsoft.com/office/drawing/2014/main" id="{8CA259DD-F1D8-4AFF-BD6E-5B3A50D90B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400050</xdr:colOff>
      <xdr:row>62</xdr:row>
      <xdr:rowOff>152400</xdr:rowOff>
    </xdr:from>
    <xdr:to>
      <xdr:col>22</xdr:col>
      <xdr:colOff>806450</xdr:colOff>
      <xdr:row>74</xdr:row>
      <xdr:rowOff>12700</xdr:rowOff>
    </xdr:to>
    <xdr:graphicFrame macro="">
      <xdr:nvGraphicFramePr>
        <xdr:cNvPr id="6" name="グラフ 5">
          <a:extLst>
            <a:ext uri="{FF2B5EF4-FFF2-40B4-BE49-F238E27FC236}">
              <a16:creationId xmlns:a16="http://schemas.microsoft.com/office/drawing/2014/main" id="{1D893732-81A4-4F8D-98AA-C84255B6C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266700</xdr:colOff>
      <xdr:row>28</xdr:row>
      <xdr:rowOff>127000</xdr:rowOff>
    </xdr:from>
    <xdr:to>
      <xdr:col>7</xdr:col>
      <xdr:colOff>317500</xdr:colOff>
      <xdr:row>39</xdr:row>
      <xdr:rowOff>215900</xdr:rowOff>
    </xdr:to>
    <xdr:graphicFrame macro="">
      <xdr:nvGraphicFramePr>
        <xdr:cNvPr id="2" name="グラフ 1">
          <a:extLst>
            <a:ext uri="{FF2B5EF4-FFF2-40B4-BE49-F238E27FC236}">
              <a16:creationId xmlns:a16="http://schemas.microsoft.com/office/drawing/2014/main" id="{BEA259C5-5544-4227-9E66-DF218DDF3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711200</xdr:colOff>
      <xdr:row>28</xdr:row>
      <xdr:rowOff>127000</xdr:rowOff>
    </xdr:from>
    <xdr:to>
      <xdr:col>13</xdr:col>
      <xdr:colOff>342900</xdr:colOff>
      <xdr:row>39</xdr:row>
      <xdr:rowOff>215900</xdr:rowOff>
    </xdr:to>
    <xdr:graphicFrame macro="">
      <xdr:nvGraphicFramePr>
        <xdr:cNvPr id="3" name="グラフ 2">
          <a:extLst>
            <a:ext uri="{FF2B5EF4-FFF2-40B4-BE49-F238E27FC236}">
              <a16:creationId xmlns:a16="http://schemas.microsoft.com/office/drawing/2014/main" id="{B5264C8F-4988-406B-90F8-7861C76FD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215900</xdr:colOff>
      <xdr:row>28</xdr:row>
      <xdr:rowOff>127008</xdr:rowOff>
    </xdr:from>
    <xdr:to>
      <xdr:col>18</xdr:col>
      <xdr:colOff>990600</xdr:colOff>
      <xdr:row>39</xdr:row>
      <xdr:rowOff>215908</xdr:rowOff>
    </xdr:to>
    <xdr:graphicFrame macro="">
      <xdr:nvGraphicFramePr>
        <xdr:cNvPr id="5" name="グラフ 4">
          <a:extLst>
            <a:ext uri="{FF2B5EF4-FFF2-40B4-BE49-F238E27FC236}">
              <a16:creationId xmlns:a16="http://schemas.microsoft.com/office/drawing/2014/main" id="{84BA85FD-0D9A-499B-A6E2-2453C2CDD3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20320</xdr:colOff>
      <xdr:row>28</xdr:row>
      <xdr:rowOff>162560</xdr:rowOff>
    </xdr:from>
    <xdr:to>
      <xdr:col>23</xdr:col>
      <xdr:colOff>535940</xdr:colOff>
      <xdr:row>40</xdr:row>
      <xdr:rowOff>17780</xdr:rowOff>
    </xdr:to>
    <xdr:graphicFrame macro="">
      <xdr:nvGraphicFramePr>
        <xdr:cNvPr id="6" name="グラフ 5">
          <a:extLst>
            <a:ext uri="{FF2B5EF4-FFF2-40B4-BE49-F238E27FC236}">
              <a16:creationId xmlns:a16="http://schemas.microsoft.com/office/drawing/2014/main" id="{43AA4A77-2CE4-4F24-835D-01523A465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30828</xdr:colOff>
      <xdr:row>2</xdr:row>
      <xdr:rowOff>145820</xdr:rowOff>
    </xdr:from>
    <xdr:to>
      <xdr:col>25</xdr:col>
      <xdr:colOff>648047</xdr:colOff>
      <xdr:row>18</xdr:row>
      <xdr:rowOff>183919</xdr:rowOff>
    </xdr:to>
    <xdr:graphicFrame macro="">
      <xdr:nvGraphicFramePr>
        <xdr:cNvPr id="2" name="グラフ 1">
          <a:extLst>
            <a:ext uri="{FF2B5EF4-FFF2-40B4-BE49-F238E27FC236}">
              <a16:creationId xmlns:a16="http://schemas.microsoft.com/office/drawing/2014/main" id="{17E90979-2CE7-4A27-9524-8F55DB530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50223</xdr:colOff>
      <xdr:row>19</xdr:row>
      <xdr:rowOff>103909</xdr:rowOff>
    </xdr:from>
    <xdr:to>
      <xdr:col>26</xdr:col>
      <xdr:colOff>692</xdr:colOff>
      <xdr:row>35</xdr:row>
      <xdr:rowOff>142009</xdr:rowOff>
    </xdr:to>
    <xdr:graphicFrame macro="">
      <xdr:nvGraphicFramePr>
        <xdr:cNvPr id="3" name="グラフ 2">
          <a:extLst>
            <a:ext uri="{FF2B5EF4-FFF2-40B4-BE49-F238E27FC236}">
              <a16:creationId xmlns:a16="http://schemas.microsoft.com/office/drawing/2014/main" id="{B40D8E2B-6A92-44EB-A74C-930C3F01C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41565</xdr:colOff>
      <xdr:row>20</xdr:row>
      <xdr:rowOff>25977</xdr:rowOff>
    </xdr:from>
    <xdr:to>
      <xdr:col>32</xdr:col>
      <xdr:colOff>658783</xdr:colOff>
      <xdr:row>36</xdr:row>
      <xdr:rowOff>64077</xdr:rowOff>
    </xdr:to>
    <xdr:graphicFrame macro="">
      <xdr:nvGraphicFramePr>
        <xdr:cNvPr id="4" name="グラフ 3">
          <a:extLst>
            <a:ext uri="{FF2B5EF4-FFF2-40B4-BE49-F238E27FC236}">
              <a16:creationId xmlns:a16="http://schemas.microsoft.com/office/drawing/2014/main" id="{6D2AACF7-3FC1-4DA1-9078-810908CF6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84860</xdr:colOff>
      <xdr:row>36</xdr:row>
      <xdr:rowOff>107373</xdr:rowOff>
    </xdr:from>
    <xdr:to>
      <xdr:col>26</xdr:col>
      <xdr:colOff>35329</xdr:colOff>
      <xdr:row>52</xdr:row>
      <xdr:rowOff>145473</xdr:rowOff>
    </xdr:to>
    <xdr:graphicFrame macro="">
      <xdr:nvGraphicFramePr>
        <xdr:cNvPr id="5" name="グラフ 4">
          <a:extLst>
            <a:ext uri="{FF2B5EF4-FFF2-40B4-BE49-F238E27FC236}">
              <a16:creationId xmlns:a16="http://schemas.microsoft.com/office/drawing/2014/main" id="{0A070108-2B83-4722-9954-61BEFCFF3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27709</xdr:colOff>
      <xdr:row>2</xdr:row>
      <xdr:rowOff>204354</xdr:rowOff>
    </xdr:from>
    <xdr:to>
      <xdr:col>32</xdr:col>
      <xdr:colOff>644928</xdr:colOff>
      <xdr:row>19</xdr:row>
      <xdr:rowOff>13855</xdr:rowOff>
    </xdr:to>
    <xdr:graphicFrame macro="">
      <xdr:nvGraphicFramePr>
        <xdr:cNvPr id="6" name="グラフ 5">
          <a:extLst>
            <a:ext uri="{FF2B5EF4-FFF2-40B4-BE49-F238E27FC236}">
              <a16:creationId xmlns:a16="http://schemas.microsoft.com/office/drawing/2014/main" id="{76E611E2-8B2E-4495-8A09-B97473AE9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12356;&#12429;&#12356;&#12429;/THz&#24540;&#29992;&#25512;&#36914;&#21332;&#35696;&#20250;/2022_6GWG/&#31532;&#20108;&#22238;/Amplifier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f."/>
    </sheetNames>
    <sheetDataSet>
      <sheetData sheetId="0">
        <row r="1">
          <cell r="B1" t="str">
            <v>Center frequency (GHz)</v>
          </cell>
          <cell r="C1" t="str">
            <v>3dB Bandwidth (GHz)</v>
          </cell>
          <cell r="E1" t="str">
            <v>Pout, sat (dBm)</v>
          </cell>
          <cell r="H1" t="str">
            <v>PAE (%)</v>
          </cell>
          <cell r="Q1" t="str">
            <v>Pout, sat (dBm) (Other countries)</v>
          </cell>
          <cell r="R1" t="str">
            <v>Pout, sat (dBm) (Developed in Japan)</v>
          </cell>
        </row>
        <row r="2">
          <cell r="B2">
            <v>850</v>
          </cell>
          <cell r="C2">
            <v>11</v>
          </cell>
          <cell r="E2">
            <v>15.95</v>
          </cell>
          <cell r="H2" t="e">
            <v>#N/A</v>
          </cell>
          <cell r="L2">
            <v>2014</v>
          </cell>
          <cell r="Q2">
            <v>15.95</v>
          </cell>
          <cell r="R2" t="e">
            <v>#N/A</v>
          </cell>
        </row>
        <row r="3">
          <cell r="B3">
            <v>838.5</v>
          </cell>
          <cell r="C3">
            <v>7</v>
          </cell>
          <cell r="E3">
            <v>16.989999999999998</v>
          </cell>
          <cell r="H3" t="e">
            <v>#N/A</v>
          </cell>
          <cell r="L3">
            <v>2014</v>
          </cell>
          <cell r="Q3">
            <v>16.989999999999998</v>
          </cell>
          <cell r="R3" t="e">
            <v>#N/A</v>
          </cell>
        </row>
        <row r="4">
          <cell r="B4">
            <v>656</v>
          </cell>
          <cell r="C4" t="e">
            <v>#N/A</v>
          </cell>
          <cell r="E4">
            <v>17.16</v>
          </cell>
          <cell r="H4" t="e">
            <v>#N/A</v>
          </cell>
          <cell r="L4">
            <v>2008</v>
          </cell>
          <cell r="Q4">
            <v>17.16</v>
          </cell>
          <cell r="R4" t="e">
            <v>#N/A</v>
          </cell>
        </row>
        <row r="5">
          <cell r="B5">
            <v>336.96</v>
          </cell>
          <cell r="C5">
            <v>2.6</v>
          </cell>
          <cell r="E5">
            <v>34.909999999999997</v>
          </cell>
          <cell r="H5" t="e">
            <v>#N/A</v>
          </cell>
          <cell r="L5">
            <v>2019</v>
          </cell>
          <cell r="Q5">
            <v>34.909999999999997</v>
          </cell>
          <cell r="R5" t="e">
            <v>#N/A</v>
          </cell>
        </row>
        <row r="6">
          <cell r="B6">
            <v>233.5</v>
          </cell>
          <cell r="C6">
            <v>2.4</v>
          </cell>
          <cell r="E6">
            <v>36.99</v>
          </cell>
          <cell r="H6" t="e">
            <v>#N/A</v>
          </cell>
          <cell r="L6">
            <v>2016</v>
          </cell>
          <cell r="Q6">
            <v>36.99</v>
          </cell>
          <cell r="R6" t="e">
            <v>#N/A</v>
          </cell>
        </row>
        <row r="7">
          <cell r="B7">
            <v>640</v>
          </cell>
          <cell r="C7">
            <v>15</v>
          </cell>
          <cell r="E7">
            <v>24.13</v>
          </cell>
          <cell r="H7" t="e">
            <v>#N/A</v>
          </cell>
          <cell r="L7">
            <v>2016</v>
          </cell>
          <cell r="Q7">
            <v>24.13</v>
          </cell>
          <cell r="R7" t="e">
            <v>#N/A</v>
          </cell>
        </row>
        <row r="8">
          <cell r="B8">
            <v>670</v>
          </cell>
          <cell r="C8">
            <v>15</v>
          </cell>
          <cell r="E8">
            <v>18.510000000000002</v>
          </cell>
          <cell r="H8" t="e">
            <v>#N/A</v>
          </cell>
          <cell r="L8">
            <v>2016</v>
          </cell>
          <cell r="Q8">
            <v>18.510000000000002</v>
          </cell>
          <cell r="R8" t="e">
            <v>#N/A</v>
          </cell>
        </row>
        <row r="9">
          <cell r="B9">
            <v>850</v>
          </cell>
          <cell r="C9">
            <v>15</v>
          </cell>
          <cell r="E9">
            <v>15.91</v>
          </cell>
          <cell r="H9" t="e">
            <v>#N/A</v>
          </cell>
          <cell r="L9">
            <v>2016</v>
          </cell>
          <cell r="Q9">
            <v>15.91</v>
          </cell>
          <cell r="R9" t="e">
            <v>#N/A</v>
          </cell>
        </row>
        <row r="10">
          <cell r="B10">
            <v>1030</v>
          </cell>
          <cell r="C10">
            <v>5</v>
          </cell>
          <cell r="E10">
            <v>14.62</v>
          </cell>
          <cell r="H10" t="e">
            <v>#N/A</v>
          </cell>
          <cell r="L10">
            <v>2016</v>
          </cell>
          <cell r="Q10">
            <v>14.62</v>
          </cell>
          <cell r="R10" t="e">
            <v>#N/A</v>
          </cell>
        </row>
        <row r="11">
          <cell r="B11">
            <v>214</v>
          </cell>
          <cell r="C11">
            <v>14</v>
          </cell>
          <cell r="E11">
            <v>40</v>
          </cell>
          <cell r="H11" t="e">
            <v>#N/A</v>
          </cell>
          <cell r="L11">
            <v>2017</v>
          </cell>
          <cell r="Q11">
            <v>40</v>
          </cell>
          <cell r="R11" t="e">
            <v>#N/A</v>
          </cell>
        </row>
        <row r="12">
          <cell r="B12">
            <v>200</v>
          </cell>
          <cell r="C12">
            <v>5</v>
          </cell>
          <cell r="E12">
            <v>50.29</v>
          </cell>
          <cell r="H12" t="e">
            <v>#N/A</v>
          </cell>
          <cell r="L12">
            <v>2017</v>
          </cell>
          <cell r="Q12">
            <v>50.29</v>
          </cell>
          <cell r="R12" t="e">
            <v>#N/A</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1109/CSICS.2014.6978585" TargetMode="External"/><Relationship Id="rId13" Type="http://schemas.openxmlformats.org/officeDocument/2006/relationships/hyperlink" Target="https://doi.org/10.1109/CSICS.2016.7751079" TargetMode="External"/><Relationship Id="rId18" Type="http://schemas.openxmlformats.org/officeDocument/2006/relationships/hyperlink" Target="https://doi.org/10.1109/CSICS.2016.7751051" TargetMode="External"/><Relationship Id="rId3" Type="http://schemas.openxmlformats.org/officeDocument/2006/relationships/hyperlink" Target="https://doi.org/10.1109/MWSYM.2018.8439698" TargetMode="External"/><Relationship Id="rId7" Type="http://schemas.openxmlformats.org/officeDocument/2006/relationships/hyperlink" Target="https://doi.org/10.1109/MWSYM.2017.8058796" TargetMode="External"/><Relationship Id="rId12" Type="http://schemas.openxmlformats.org/officeDocument/2006/relationships/hyperlink" Target="https://doi.org/10.1109/CSICS.2016.7751079" TargetMode="External"/><Relationship Id="rId17" Type="http://schemas.openxmlformats.org/officeDocument/2006/relationships/hyperlink" Target="https://doi.org/10.1109/IMS37962.2022.9865528" TargetMode="External"/><Relationship Id="rId2" Type="http://schemas.openxmlformats.org/officeDocument/2006/relationships/hyperlink" Target="https://doi.org/10.1109/MWSYM.2018.8439698" TargetMode="External"/><Relationship Id="rId16" Type="http://schemas.openxmlformats.org/officeDocument/2006/relationships/hyperlink" Target="https://doi.org/10.1109/CSICS.2014.6978559" TargetMode="External"/><Relationship Id="rId20" Type="http://schemas.openxmlformats.org/officeDocument/2006/relationships/drawing" Target="../drawings/drawing2.xml"/><Relationship Id="rId1" Type="http://schemas.openxmlformats.org/officeDocument/2006/relationships/hyperlink" Target="https://doi.org/10.1109/TMTT.2021.3134645" TargetMode="External"/><Relationship Id="rId6" Type="http://schemas.openxmlformats.org/officeDocument/2006/relationships/hyperlink" Target="https://doi.org/10.1109/MWSYM.2017.8058796" TargetMode="External"/><Relationship Id="rId11" Type="http://schemas.openxmlformats.org/officeDocument/2006/relationships/hyperlink" Target="https://doi.org/10.1109/LMWC.2021.3076360" TargetMode="External"/><Relationship Id="rId5" Type="http://schemas.openxmlformats.org/officeDocument/2006/relationships/hyperlink" Target="https://doi.org/10.1109/IMWS3.2011.6061860" TargetMode="External"/><Relationship Id="rId15" Type="http://schemas.openxmlformats.org/officeDocument/2006/relationships/hyperlink" Target="https://doi.org/10.1109/LMWC.2020.3019816" TargetMode="External"/><Relationship Id="rId10" Type="http://schemas.openxmlformats.org/officeDocument/2006/relationships/hyperlink" Target="https://doi.org/10.1109/LMWC.2021.3076360" TargetMode="External"/><Relationship Id="rId19" Type="http://schemas.openxmlformats.org/officeDocument/2006/relationships/printerSettings" Target="../printerSettings/printerSettings3.bin"/><Relationship Id="rId4" Type="http://schemas.openxmlformats.org/officeDocument/2006/relationships/hyperlink" Target="https://doi.org/10.1109/MWSYM.2018.8439698" TargetMode="External"/><Relationship Id="rId9" Type="http://schemas.openxmlformats.org/officeDocument/2006/relationships/hyperlink" Target="https://doi.org/10.1109/CSICS.2014.6978585" TargetMode="External"/><Relationship Id="rId14" Type="http://schemas.openxmlformats.org/officeDocument/2006/relationships/hyperlink" Target="https://doi.org/10.1109/LMWC.2020.3019816"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i.org/10.1109/IRMMW-THz.2014.6956402" TargetMode="External"/><Relationship Id="rId13" Type="http://schemas.openxmlformats.org/officeDocument/2006/relationships/hyperlink" Target="https://doi.org/10.1109/ICIPRM.2008.4702933" TargetMode="External"/><Relationship Id="rId18" Type="http://schemas.openxmlformats.org/officeDocument/2006/relationships/hyperlink" Target="https://doi.org/10.1109/IMWS3.2011.6061898" TargetMode="External"/><Relationship Id="rId3" Type="http://schemas.openxmlformats.org/officeDocument/2006/relationships/hyperlink" Target="https://doi.org/10.1109/TTHZ.2016.2614264" TargetMode="External"/><Relationship Id="rId21" Type="http://schemas.openxmlformats.org/officeDocument/2006/relationships/hyperlink" Target="https://doi.org/10.1109/CSICS.2016.7751007" TargetMode="External"/><Relationship Id="rId7" Type="http://schemas.openxmlformats.org/officeDocument/2006/relationships/hyperlink" Target="https://doi.org/10.1109/LMWC.2015.2421336" TargetMode="External"/><Relationship Id="rId12" Type="http://schemas.openxmlformats.org/officeDocument/2006/relationships/hyperlink" Target="https://doi.org/10.1109/MWSYM.2019.8701101" TargetMode="External"/><Relationship Id="rId17" Type="http://schemas.openxmlformats.org/officeDocument/2006/relationships/hyperlink" Target="https://doi.org/10.1109/EuMC.2015.7345825" TargetMode="External"/><Relationship Id="rId2" Type="http://schemas.openxmlformats.org/officeDocument/2006/relationships/hyperlink" Target="https://doi.org/10.1109/IEDM.2016.7838502" TargetMode="External"/><Relationship Id="rId16" Type="http://schemas.openxmlformats.org/officeDocument/2006/relationships/hyperlink" Target="https://doi.org/10.1109/TMTT.2010.2050374" TargetMode="External"/><Relationship Id="rId20" Type="http://schemas.openxmlformats.org/officeDocument/2006/relationships/hyperlink" Target="https://doi.org/10.1109/CSICS.2016.7751007" TargetMode="External"/><Relationship Id="rId1" Type="http://schemas.openxmlformats.org/officeDocument/2006/relationships/hyperlink" Target="https://doi.org/10.1109/TTHZ.2017.2710632" TargetMode="External"/><Relationship Id="rId6" Type="http://schemas.openxmlformats.org/officeDocument/2006/relationships/hyperlink" Target="https://doi.org/10.1109/CSICS.2015.7314521" TargetMode="External"/><Relationship Id="rId11" Type="http://schemas.openxmlformats.org/officeDocument/2006/relationships/hyperlink" Target="https://doi.org/10.1109/LMWC.2011.2143701" TargetMode="External"/><Relationship Id="rId24" Type="http://schemas.openxmlformats.org/officeDocument/2006/relationships/drawing" Target="../drawings/drawing3.xml"/><Relationship Id="rId5" Type="http://schemas.openxmlformats.org/officeDocument/2006/relationships/hyperlink" Target="https://doi.org/10.1109/LED.2015.2407193" TargetMode="External"/><Relationship Id="rId15" Type="http://schemas.openxmlformats.org/officeDocument/2006/relationships/hyperlink" Target="https://doi.org/10.1109/MWSYM.2009.5165756" TargetMode="External"/><Relationship Id="rId23" Type="http://schemas.openxmlformats.org/officeDocument/2006/relationships/printerSettings" Target="../printerSettings/printerSettings4.bin"/><Relationship Id="rId10" Type="http://schemas.openxmlformats.org/officeDocument/2006/relationships/hyperlink" Target="https://doi.org/10.1109/MWSYM.2014.6848588" TargetMode="External"/><Relationship Id="rId19" Type="http://schemas.openxmlformats.org/officeDocument/2006/relationships/hyperlink" Target="https://doi.org/10.1109/CSICS.2016.7751007" TargetMode="External"/><Relationship Id="rId4" Type="http://schemas.openxmlformats.org/officeDocument/2006/relationships/hyperlink" Target="https://doi.org/10.1109/LMWC.2016.2605458" TargetMode="External"/><Relationship Id="rId9" Type="http://schemas.openxmlformats.org/officeDocument/2006/relationships/hyperlink" Target="https://doi.org/10.1109/MWSYM.2014.6848588" TargetMode="External"/><Relationship Id="rId14" Type="http://schemas.openxmlformats.org/officeDocument/2006/relationships/hyperlink" Target="https://doi.org/10.1109/ICIPRM.2008.4703060" TargetMode="External"/><Relationship Id="rId22" Type="http://schemas.openxmlformats.org/officeDocument/2006/relationships/hyperlink" Target="https://doi.org/10.1109/CSICS.2016.7751007"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doi.org/10.1109/MWSYM.2014.6848456" TargetMode="External"/><Relationship Id="rId18" Type="http://schemas.openxmlformats.org/officeDocument/2006/relationships/hyperlink" Target="https://doi.org/10.1109/ICIPRM.2013.6562647" TargetMode="External"/><Relationship Id="rId26" Type="http://schemas.openxmlformats.org/officeDocument/2006/relationships/hyperlink" Target="https://doi.org/10.1109/ICIPRM.2009.5012475" TargetMode="External"/><Relationship Id="rId21" Type="http://schemas.openxmlformats.org/officeDocument/2006/relationships/hyperlink" Target="https://doi.org/10.1109/MWSYM.2010.5518016" TargetMode="External"/><Relationship Id="rId34" Type="http://schemas.openxmlformats.org/officeDocument/2006/relationships/hyperlink" Target="https://doi.org/10.1109/CSICS.2013.6659237" TargetMode="External"/><Relationship Id="rId7" Type="http://schemas.openxmlformats.org/officeDocument/2006/relationships/hyperlink" Target="https://doi.org/10.1109/MWSYM.2017.8058685" TargetMode="External"/><Relationship Id="rId12" Type="http://schemas.openxmlformats.org/officeDocument/2006/relationships/hyperlink" Target="https://doi.org/10.1109/EuMIC.2014.6997797" TargetMode="External"/><Relationship Id="rId17" Type="http://schemas.openxmlformats.org/officeDocument/2006/relationships/hyperlink" Target="https://doi.org/10.1109/ICIPRM.2013.6562647" TargetMode="External"/><Relationship Id="rId25" Type="http://schemas.openxmlformats.org/officeDocument/2006/relationships/hyperlink" Target="https://doi.org/10.1109/ICIPRM.2009.5012475" TargetMode="External"/><Relationship Id="rId33" Type="http://schemas.openxmlformats.org/officeDocument/2006/relationships/hyperlink" Target="https://doi.org/10.1109/MWSYM.2014.6848288" TargetMode="External"/><Relationship Id="rId38" Type="http://schemas.openxmlformats.org/officeDocument/2006/relationships/drawing" Target="../drawings/drawing4.xml"/><Relationship Id="rId2" Type="http://schemas.openxmlformats.org/officeDocument/2006/relationships/hyperlink" Target="https://doi.org/10.1109/MWSYM.2019.8700792" TargetMode="External"/><Relationship Id="rId16" Type="http://schemas.openxmlformats.org/officeDocument/2006/relationships/hyperlink" Target="https://doi.org/10.1109/MWSYM.2013.6697362" TargetMode="External"/><Relationship Id="rId20" Type="http://schemas.openxmlformats.org/officeDocument/2006/relationships/hyperlink" Target="https://doi.org/10.1109/CSICS.2010.5619608" TargetMode="External"/><Relationship Id="rId29" Type="http://schemas.openxmlformats.org/officeDocument/2006/relationships/hyperlink" Target="https://doi.org/10.1109/EMICC.2006.282770" TargetMode="External"/><Relationship Id="rId1" Type="http://schemas.openxmlformats.org/officeDocument/2006/relationships/hyperlink" Target="https://doi.org/10.1109/TTHZ.2021.3099064" TargetMode="External"/><Relationship Id="rId6" Type="http://schemas.openxmlformats.org/officeDocument/2006/relationships/hyperlink" Target="https://doi.org/10.1109/MWSYM.2017.8058685" TargetMode="External"/><Relationship Id="rId11" Type="http://schemas.openxmlformats.org/officeDocument/2006/relationships/hyperlink" Target="https://doi.org/10.1109/LMWC.2015.2451355" TargetMode="External"/><Relationship Id="rId24" Type="http://schemas.openxmlformats.org/officeDocument/2006/relationships/hyperlink" Target="https://doi.org/10.1109/ICIPRM.2009.5012475" TargetMode="External"/><Relationship Id="rId32" Type="http://schemas.openxmlformats.org/officeDocument/2006/relationships/hyperlink" Target="https://doi.org/10.1109/MWSYM.2014.6848288" TargetMode="External"/><Relationship Id="rId37" Type="http://schemas.openxmlformats.org/officeDocument/2006/relationships/printerSettings" Target="../printerSettings/printerSettings5.bin"/><Relationship Id="rId5" Type="http://schemas.openxmlformats.org/officeDocument/2006/relationships/hyperlink" Target="https://doi.org/10.1109/MWSYM.2017.8058687" TargetMode="External"/><Relationship Id="rId15" Type="http://schemas.openxmlformats.org/officeDocument/2006/relationships/hyperlink" Target="https://doi.org/10.1109/MWSYM.2013.6697362" TargetMode="External"/><Relationship Id="rId23" Type="http://schemas.openxmlformats.org/officeDocument/2006/relationships/hyperlink" Target="https://doi.org/10.1109/ICIPRM.2009.5012475" TargetMode="External"/><Relationship Id="rId28" Type="http://schemas.openxmlformats.org/officeDocument/2006/relationships/hyperlink" Target="https://doi.org/10.1109/CSICS.2008.12" TargetMode="External"/><Relationship Id="rId36" Type="http://schemas.openxmlformats.org/officeDocument/2006/relationships/hyperlink" Target="https://doi.org/10.1109/ISSSE.2012.6374348" TargetMode="External"/><Relationship Id="rId10" Type="http://schemas.openxmlformats.org/officeDocument/2006/relationships/hyperlink" Target="https://doi.org/10.1109/GSMM.2016.7500293" TargetMode="External"/><Relationship Id="rId19" Type="http://schemas.openxmlformats.org/officeDocument/2006/relationships/hyperlink" Target="https://doi.org/10.1109/LMWC.2013.2272610" TargetMode="External"/><Relationship Id="rId31" Type="http://schemas.openxmlformats.org/officeDocument/2006/relationships/hyperlink" Target="https://doi.org/10.1109/MWSYM.2013.6697544" TargetMode="External"/><Relationship Id="rId4" Type="http://schemas.openxmlformats.org/officeDocument/2006/relationships/hyperlink" Target="https://doi.org/10.1109/MWSYM.2019.8700792" TargetMode="External"/><Relationship Id="rId9" Type="http://schemas.openxmlformats.org/officeDocument/2006/relationships/hyperlink" Target="https://doi.org/10.1109/MWSYM.2017.8058686" TargetMode="External"/><Relationship Id="rId14" Type="http://schemas.openxmlformats.org/officeDocument/2006/relationships/hyperlink" Target="https://doi.org/10.1109/MWSYM.2014.6848456" TargetMode="External"/><Relationship Id="rId22" Type="http://schemas.openxmlformats.org/officeDocument/2006/relationships/hyperlink" Target="https://doi.org/10.1109/MWSYM.2010.5518016" TargetMode="External"/><Relationship Id="rId27" Type="http://schemas.openxmlformats.org/officeDocument/2006/relationships/hyperlink" Target="https://doi.org/10.1109/JSSC.2008.2002931" TargetMode="External"/><Relationship Id="rId30" Type="http://schemas.openxmlformats.org/officeDocument/2006/relationships/hyperlink" Target="https://doi.org/10.1109/MWSYM.2013.6697544" TargetMode="External"/><Relationship Id="rId35" Type="http://schemas.openxmlformats.org/officeDocument/2006/relationships/hyperlink" Target="https://doi.org/10.1109/IMWS3.2011.6061886" TargetMode="External"/><Relationship Id="rId8" Type="http://schemas.openxmlformats.org/officeDocument/2006/relationships/hyperlink" Target="https://doi.org/10.1109/MWSYM.2017.8058686" TargetMode="External"/><Relationship Id="rId3" Type="http://schemas.openxmlformats.org/officeDocument/2006/relationships/hyperlink" Target="https://doi.org/10.1109/MWSYM.2019.870079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oi.org/10.1109/TTHZ.2014.2364454" TargetMode="External"/><Relationship Id="rId13" Type="http://schemas.openxmlformats.org/officeDocument/2006/relationships/hyperlink" Target="https://doi.org/10.1109/TMTT.2015.2405916" TargetMode="External"/><Relationship Id="rId18" Type="http://schemas.openxmlformats.org/officeDocument/2006/relationships/hyperlink" Target="https://doi.org/10.1109/CSICS.2016.7751042" TargetMode="External"/><Relationship Id="rId3" Type="http://schemas.openxmlformats.org/officeDocument/2006/relationships/hyperlink" Target="https://doi.org/10.1109/LMWC.2022.3189607" TargetMode="External"/><Relationship Id="rId21" Type="http://schemas.openxmlformats.org/officeDocument/2006/relationships/printerSettings" Target="../printerSettings/printerSettings6.bin"/><Relationship Id="rId7" Type="http://schemas.openxmlformats.org/officeDocument/2006/relationships/hyperlink" Target="https://doi.org/10.1109/RFIT.2017.8048278" TargetMode="External"/><Relationship Id="rId12" Type="http://schemas.openxmlformats.org/officeDocument/2006/relationships/hyperlink" Target="https://doi.org/10.1109/TMTT.2014.2384493" TargetMode="External"/><Relationship Id="rId17" Type="http://schemas.openxmlformats.org/officeDocument/2006/relationships/hyperlink" Target="https://doi.org/10.1109/JSSC.2017.2713528" TargetMode="External"/><Relationship Id="rId2" Type="http://schemas.openxmlformats.org/officeDocument/2006/relationships/hyperlink" Target="https://doi.org/10.23919/EuMIC50153.2022.9784010" TargetMode="External"/><Relationship Id="rId16" Type="http://schemas.openxmlformats.org/officeDocument/2006/relationships/hyperlink" Target="https://doi.org/10.1109/LMWC.2012.2214767" TargetMode="External"/><Relationship Id="rId20" Type="http://schemas.openxmlformats.org/officeDocument/2006/relationships/hyperlink" Target="https://doi.org/10.1109/JPROC.2017.2692178" TargetMode="External"/><Relationship Id="rId1" Type="http://schemas.openxmlformats.org/officeDocument/2006/relationships/hyperlink" Target="https://doi.org/10.23919/EuMIC50153.2022.9784010" TargetMode="External"/><Relationship Id="rId6" Type="http://schemas.openxmlformats.org/officeDocument/2006/relationships/hyperlink" Target="https://doi.org/10.1109/TMTT.2019.2947664" TargetMode="External"/><Relationship Id="rId11" Type="http://schemas.openxmlformats.org/officeDocument/2006/relationships/hyperlink" Target="https://doi.org/10.1109/TMTT.2014.2384493" TargetMode="External"/><Relationship Id="rId5" Type="http://schemas.openxmlformats.org/officeDocument/2006/relationships/hyperlink" Target="https://doi.org/10.1109/TTHZ.2020.2972362" TargetMode="External"/><Relationship Id="rId15" Type="http://schemas.openxmlformats.org/officeDocument/2006/relationships/hyperlink" Target="https://doi.org/10.1109/TMTT.2015.2405916" TargetMode="External"/><Relationship Id="rId10" Type="http://schemas.openxmlformats.org/officeDocument/2006/relationships/hyperlink" Target="https://doi.org/10.1109/TTHZ.2013.2275900" TargetMode="External"/><Relationship Id="rId19" Type="http://schemas.openxmlformats.org/officeDocument/2006/relationships/hyperlink" Target="https://doi.org/10.1109/CSICS.2017.8240463" TargetMode="External"/><Relationship Id="rId4" Type="http://schemas.openxmlformats.org/officeDocument/2006/relationships/hyperlink" Target="https://doi.org/10.23919/EuMIC50153.2022.9783820" TargetMode="External"/><Relationship Id="rId9" Type="http://schemas.openxmlformats.org/officeDocument/2006/relationships/hyperlink" Target="https://doi.org/10.1109/MWSYM.2010.5518124" TargetMode="External"/><Relationship Id="rId14" Type="http://schemas.openxmlformats.org/officeDocument/2006/relationships/hyperlink" Target="https://doi.org/10.1109/TMTT.2015.2405916" TargetMode="External"/><Relationship Id="rId2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913C-A717-41E9-9CD0-B29129340791}">
  <dimension ref="A1:C20"/>
  <sheetViews>
    <sheetView workbookViewId="0">
      <selection activeCell="B3" sqref="B3"/>
    </sheetView>
  </sheetViews>
  <sheetFormatPr defaultRowHeight="18" x14ac:dyDescent="0.45"/>
  <cols>
    <col min="1" max="1" width="10.19921875" bestFit="1" customWidth="1"/>
    <col min="2" max="2" width="41" customWidth="1"/>
    <col min="3" max="3" width="11" bestFit="1" customWidth="1"/>
  </cols>
  <sheetData>
    <row r="1" spans="1:3" x14ac:dyDescent="0.45">
      <c r="A1" s="86" t="s">
        <v>607</v>
      </c>
      <c r="B1" s="86" t="s">
        <v>606</v>
      </c>
      <c r="C1" s="86" t="s">
        <v>609</v>
      </c>
    </row>
    <row r="2" spans="1:3" x14ac:dyDescent="0.45">
      <c r="A2" s="88">
        <v>44819</v>
      </c>
      <c r="B2" s="86" t="s">
        <v>610</v>
      </c>
      <c r="C2" s="86" t="s">
        <v>608</v>
      </c>
    </row>
    <row r="3" spans="1:3" x14ac:dyDescent="0.45">
      <c r="A3" s="86"/>
      <c r="B3" s="86"/>
      <c r="C3" s="86"/>
    </row>
    <row r="4" spans="1:3" x14ac:dyDescent="0.45">
      <c r="A4" s="86"/>
      <c r="B4" s="86"/>
      <c r="C4" s="86"/>
    </row>
    <row r="5" spans="1:3" x14ac:dyDescent="0.45">
      <c r="A5" s="86"/>
      <c r="B5" s="86"/>
      <c r="C5" s="86"/>
    </row>
    <row r="6" spans="1:3" x14ac:dyDescent="0.45">
      <c r="A6" s="86"/>
      <c r="B6" s="86"/>
      <c r="C6" s="86"/>
    </row>
    <row r="7" spans="1:3" x14ac:dyDescent="0.45">
      <c r="A7" s="86"/>
      <c r="B7" s="86"/>
      <c r="C7" s="86"/>
    </row>
    <row r="8" spans="1:3" x14ac:dyDescent="0.45">
      <c r="A8" s="86"/>
      <c r="B8" s="86"/>
      <c r="C8" s="86"/>
    </row>
    <row r="9" spans="1:3" x14ac:dyDescent="0.45">
      <c r="A9" s="86"/>
      <c r="B9" s="86"/>
      <c r="C9" s="86"/>
    </row>
    <row r="10" spans="1:3" x14ac:dyDescent="0.45">
      <c r="A10" s="86"/>
      <c r="B10" s="86"/>
      <c r="C10" s="86"/>
    </row>
    <row r="11" spans="1:3" x14ac:dyDescent="0.45">
      <c r="A11" s="86"/>
      <c r="B11" s="86"/>
      <c r="C11" s="86"/>
    </row>
    <row r="12" spans="1:3" x14ac:dyDescent="0.45">
      <c r="A12" s="86"/>
      <c r="B12" s="86"/>
      <c r="C12" s="86"/>
    </row>
    <row r="13" spans="1:3" x14ac:dyDescent="0.45">
      <c r="A13" s="86"/>
      <c r="B13" s="86"/>
      <c r="C13" s="86"/>
    </row>
    <row r="14" spans="1:3" x14ac:dyDescent="0.45">
      <c r="A14" s="86"/>
      <c r="B14" s="86"/>
      <c r="C14" s="86"/>
    </row>
    <row r="15" spans="1:3" x14ac:dyDescent="0.45">
      <c r="A15" s="86"/>
      <c r="B15" s="86"/>
      <c r="C15" s="86"/>
    </row>
    <row r="16" spans="1:3" x14ac:dyDescent="0.45">
      <c r="A16" s="86"/>
      <c r="B16" s="86"/>
      <c r="C16" s="86"/>
    </row>
    <row r="17" spans="1:3" x14ac:dyDescent="0.45">
      <c r="A17" s="86"/>
      <c r="B17" s="86"/>
      <c r="C17" s="86"/>
    </row>
    <row r="18" spans="1:3" x14ac:dyDescent="0.45">
      <c r="A18" s="86"/>
      <c r="B18" s="86"/>
      <c r="C18" s="86"/>
    </row>
    <row r="19" spans="1:3" x14ac:dyDescent="0.45">
      <c r="A19" s="86"/>
      <c r="B19" s="86"/>
      <c r="C19" s="86"/>
    </row>
    <row r="20" spans="1:3" x14ac:dyDescent="0.45">
      <c r="A20" s="86"/>
      <c r="B20" s="86"/>
      <c r="C20" s="86"/>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28B4-77D9-4800-B124-38572D21D6DC}">
  <dimension ref="A1"/>
  <sheetViews>
    <sheetView zoomScale="50" zoomScaleNormal="50" workbookViewId="0">
      <selection activeCell="T29" sqref="T29"/>
    </sheetView>
  </sheetViews>
  <sheetFormatPr defaultRowHeight="18" x14ac:dyDescent="0.45"/>
  <sheetData/>
  <phoneticPr fontId="2"/>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1880D-26D1-4926-AD7E-24FC9D46E80C}">
  <dimension ref="A1:AW29"/>
  <sheetViews>
    <sheetView zoomScale="55" zoomScaleNormal="55" workbookViewId="0">
      <pane xSplit="1" ySplit="1" topLeftCell="J12" activePane="bottomRight" state="frozen"/>
      <selection pane="topRight" activeCell="B1" sqref="B1"/>
      <selection pane="bottomLeft" activeCell="A2" sqref="A2"/>
      <selection pane="bottomRight" activeCell="Y37" sqref="Y37"/>
    </sheetView>
  </sheetViews>
  <sheetFormatPr defaultColWidth="9" defaultRowHeight="18" x14ac:dyDescent="0.45"/>
  <cols>
    <col min="1" max="1" width="11.19921875" style="13" bestFit="1" customWidth="1"/>
    <col min="2" max="2" width="12.09765625" style="13" bestFit="1" customWidth="1"/>
    <col min="3" max="3" width="9.19921875" style="13" bestFit="1" customWidth="1"/>
    <col min="4" max="4" width="10.5" style="13" bestFit="1" customWidth="1"/>
    <col min="5" max="5" width="11.19921875" style="13" bestFit="1" customWidth="1"/>
    <col min="6" max="6" width="8" style="13" bestFit="1" customWidth="1"/>
    <col min="7" max="7" width="9.59765625" style="13" bestFit="1" customWidth="1"/>
    <col min="8" max="8" width="14.3984375" style="13" bestFit="1" customWidth="1"/>
    <col min="9" max="9" width="13.09765625" style="13" bestFit="1" customWidth="1"/>
    <col min="10" max="10" width="8.59765625" style="13" bestFit="1" customWidth="1"/>
    <col min="11" max="11" width="11.5" style="13" bestFit="1" customWidth="1"/>
    <col min="12" max="12" width="17.3984375" style="13" bestFit="1" customWidth="1"/>
    <col min="13" max="13" width="7.19921875" style="13" bestFit="1" customWidth="1"/>
    <col min="14" max="14" width="5.5" style="13" bestFit="1" customWidth="1"/>
    <col min="15" max="15" width="8.5" style="13" bestFit="1" customWidth="1"/>
    <col min="16" max="16" width="6.69921875" style="13" bestFit="1" customWidth="1"/>
    <col min="17" max="17" width="14.8984375" style="20" bestFit="1" customWidth="1"/>
    <col min="18" max="18" width="15.09765625" style="20" bestFit="1" customWidth="1"/>
    <col min="19" max="19" width="17" style="13" bestFit="1" customWidth="1"/>
    <col min="20" max="20" width="14.59765625" style="13" bestFit="1" customWidth="1"/>
    <col min="21" max="21" width="13.59765625" style="13" bestFit="1" customWidth="1"/>
    <col min="22" max="22" width="9.3984375" style="13" bestFit="1" customWidth="1"/>
    <col min="23" max="23" width="15.5" style="13" bestFit="1" customWidth="1"/>
    <col min="24" max="24" width="9.59765625" style="20" bestFit="1" customWidth="1"/>
    <col min="25" max="25" width="8.69921875" style="20" bestFit="1" customWidth="1"/>
    <col min="26" max="26" width="13.19921875" style="13" bestFit="1" customWidth="1"/>
    <col min="27" max="28" width="13.5" style="13" bestFit="1" customWidth="1"/>
    <col min="29" max="29" width="8" style="13" bestFit="1" customWidth="1"/>
    <col min="30" max="30" width="12.3984375" style="13" bestFit="1" customWidth="1"/>
    <col min="31" max="31" width="11.09765625" style="13" bestFit="1" customWidth="1"/>
    <col min="32" max="32" width="11" style="13" bestFit="1" customWidth="1"/>
    <col min="33" max="33" width="8.09765625" style="13" bestFit="1" customWidth="1"/>
    <col min="34" max="34" width="8.19921875" style="13" bestFit="1" customWidth="1"/>
    <col min="35" max="35" width="10.8984375" style="13" bestFit="1" customWidth="1"/>
    <col min="36" max="36" width="11" style="13" bestFit="1" customWidth="1"/>
    <col min="37" max="37" width="10.5" style="13" bestFit="1" customWidth="1"/>
    <col min="38" max="38" width="10.09765625" style="13" bestFit="1" customWidth="1"/>
    <col min="39" max="39" width="11.59765625" style="13" bestFit="1" customWidth="1"/>
    <col min="40" max="40" width="11.59765625" style="13" customWidth="1"/>
    <col min="41" max="41" width="5.59765625" style="13" bestFit="1" customWidth="1"/>
    <col min="42" max="42" width="100.09765625" style="13" bestFit="1" customWidth="1"/>
    <col min="43" max="43" width="125.19921875" style="13" bestFit="1" customWidth="1"/>
    <col min="44" max="44" width="21" style="13" bestFit="1" customWidth="1"/>
    <col min="45" max="45" width="43.59765625" style="13" bestFit="1" customWidth="1"/>
    <col min="46" max="46" width="4.69921875" bestFit="1" customWidth="1"/>
    <col min="47" max="47" width="6" style="20" bestFit="1" customWidth="1"/>
    <col min="48" max="16384" width="9" style="13"/>
  </cols>
  <sheetData>
    <row r="1" spans="1:47" x14ac:dyDescent="0.45">
      <c r="A1" s="10" t="s">
        <v>0</v>
      </c>
      <c r="B1" s="10" t="s">
        <v>1</v>
      </c>
      <c r="C1" s="10" t="s">
        <v>2</v>
      </c>
      <c r="D1" s="10" t="s">
        <v>3</v>
      </c>
      <c r="E1" s="10" t="s">
        <v>77</v>
      </c>
      <c r="F1" s="21" t="s">
        <v>5</v>
      </c>
      <c r="G1" s="21" t="s">
        <v>505</v>
      </c>
      <c r="H1" s="21" t="s">
        <v>7</v>
      </c>
      <c r="I1" s="21" t="s">
        <v>8</v>
      </c>
      <c r="J1" s="21" t="s">
        <v>9</v>
      </c>
      <c r="K1" s="21" t="s">
        <v>10</v>
      </c>
      <c r="L1" s="17" t="s">
        <v>4</v>
      </c>
      <c r="M1" s="17" t="s">
        <v>500</v>
      </c>
      <c r="N1" s="17" t="s">
        <v>501</v>
      </c>
      <c r="O1" s="17" t="s">
        <v>6</v>
      </c>
      <c r="P1" s="17" t="s">
        <v>93</v>
      </c>
      <c r="Q1" s="16" t="s">
        <v>85</v>
      </c>
      <c r="R1" s="16" t="s">
        <v>90</v>
      </c>
      <c r="S1" s="14" t="s">
        <v>86</v>
      </c>
      <c r="T1" s="14" t="s">
        <v>82</v>
      </c>
      <c r="U1" s="14" t="s">
        <v>83</v>
      </c>
      <c r="V1" s="14" t="s">
        <v>81</v>
      </c>
      <c r="W1" s="14" t="s">
        <v>325</v>
      </c>
      <c r="X1" s="16" t="s">
        <v>16</v>
      </c>
      <c r="Y1" s="16" t="s">
        <v>84</v>
      </c>
      <c r="Z1" s="1" t="s">
        <v>87</v>
      </c>
      <c r="AA1" s="1" t="s">
        <v>88</v>
      </c>
      <c r="AB1" s="1" t="s">
        <v>89</v>
      </c>
      <c r="AC1" s="1" t="s">
        <v>326</v>
      </c>
      <c r="AD1" s="1" t="s">
        <v>11</v>
      </c>
      <c r="AE1" s="7" t="s">
        <v>12</v>
      </c>
      <c r="AF1" s="7" t="s">
        <v>13</v>
      </c>
      <c r="AG1" s="7" t="s">
        <v>14</v>
      </c>
      <c r="AH1" s="7" t="s">
        <v>15</v>
      </c>
      <c r="AI1" s="4" t="s">
        <v>17</v>
      </c>
      <c r="AJ1" s="4" t="s">
        <v>503</v>
      </c>
      <c r="AK1" s="4" t="s">
        <v>504</v>
      </c>
      <c r="AL1" s="4" t="s">
        <v>18</v>
      </c>
      <c r="AM1" s="4" t="s">
        <v>19</v>
      </c>
      <c r="AN1" s="4" t="s">
        <v>502</v>
      </c>
      <c r="AO1" s="10" t="s">
        <v>20</v>
      </c>
      <c r="AP1" s="10" t="s">
        <v>91</v>
      </c>
      <c r="AQ1" s="10" t="s">
        <v>80</v>
      </c>
      <c r="AR1" s="10" t="s">
        <v>79</v>
      </c>
      <c r="AS1" s="10" t="s">
        <v>78</v>
      </c>
      <c r="AT1" s="86" t="s">
        <v>605</v>
      </c>
      <c r="AU1" s="85" t="s">
        <v>603</v>
      </c>
    </row>
    <row r="2" spans="1:47" s="18" customFormat="1" x14ac:dyDescent="0.45">
      <c r="A2" s="12" t="s">
        <v>178</v>
      </c>
      <c r="B2" s="12" t="s">
        <v>95</v>
      </c>
      <c r="C2" s="12" t="s">
        <v>179</v>
      </c>
      <c r="D2" s="12" t="s">
        <v>494</v>
      </c>
      <c r="E2" s="12">
        <f>AB2</f>
        <v>105.5</v>
      </c>
      <c r="F2" s="23">
        <v>7.0000000000000007E-2</v>
      </c>
      <c r="G2" s="23">
        <v>25</v>
      </c>
      <c r="H2" s="23"/>
      <c r="I2" s="23">
        <v>500</v>
      </c>
      <c r="J2" s="23">
        <v>145</v>
      </c>
      <c r="K2" s="23">
        <v>380</v>
      </c>
      <c r="L2" s="25">
        <v>10</v>
      </c>
      <c r="M2" s="25">
        <v>4</v>
      </c>
      <c r="N2" s="25">
        <v>2</v>
      </c>
      <c r="O2" s="25">
        <f t="shared" ref="O2:O7" si="0">G2*M2*N2</f>
        <v>200</v>
      </c>
      <c r="P2" s="25">
        <v>5</v>
      </c>
      <c r="Q2" s="16">
        <v>76</v>
      </c>
      <c r="R2" s="16">
        <v>122</v>
      </c>
      <c r="S2" s="16">
        <v>79</v>
      </c>
      <c r="T2" s="16">
        <v>33.4</v>
      </c>
      <c r="U2" s="16">
        <v>24</v>
      </c>
      <c r="V2" s="16">
        <f>(T2+U2)/2</f>
        <v>28.7</v>
      </c>
      <c r="W2" s="55">
        <f>V2/P2</f>
        <v>5.74</v>
      </c>
      <c r="X2" s="16">
        <f>R2-Q2</f>
        <v>46</v>
      </c>
      <c r="Y2" s="16">
        <f>T2-U2</f>
        <v>9.3999999999999986</v>
      </c>
      <c r="Z2" s="2">
        <v>87</v>
      </c>
      <c r="AA2" s="2">
        <v>124</v>
      </c>
      <c r="AB2" s="2">
        <f>(Z2+AA2)/2</f>
        <v>105.5</v>
      </c>
      <c r="AC2" s="2">
        <v>3.7</v>
      </c>
      <c r="AD2" s="2">
        <v>3.5</v>
      </c>
      <c r="AE2" s="9">
        <f>(22.8+24.3)/2</f>
        <v>23.55</v>
      </c>
      <c r="AF2" s="33">
        <f>POWER(10,AE2/10)</f>
        <v>226.46443075930611</v>
      </c>
      <c r="AG2" s="9">
        <v>1.841</v>
      </c>
      <c r="AH2" s="9">
        <f>(9.6+13.4)/2</f>
        <v>11.5</v>
      </c>
      <c r="AI2" s="6">
        <f>3.5*1</f>
        <v>3.5</v>
      </c>
      <c r="AJ2" s="6"/>
      <c r="AK2" s="6"/>
      <c r="AL2" s="6" t="s">
        <v>35</v>
      </c>
      <c r="AM2" s="6" t="s">
        <v>495</v>
      </c>
      <c r="AN2" s="53" t="s">
        <v>525</v>
      </c>
      <c r="AO2" s="51">
        <v>2022</v>
      </c>
      <c r="AP2" s="51" t="s">
        <v>497</v>
      </c>
      <c r="AQ2" s="51" t="s">
        <v>498</v>
      </c>
      <c r="AR2" s="51" t="s">
        <v>200</v>
      </c>
      <c r="AS2" s="50" t="s">
        <v>499</v>
      </c>
      <c r="AT2" s="86">
        <v>1</v>
      </c>
      <c r="AU2" s="20" t="s">
        <v>496</v>
      </c>
    </row>
    <row r="3" spans="1:47" s="18" customFormat="1" x14ac:dyDescent="0.45">
      <c r="A3" s="12" t="s">
        <v>178</v>
      </c>
      <c r="B3" s="12" t="s">
        <v>95</v>
      </c>
      <c r="C3" s="12" t="s">
        <v>179</v>
      </c>
      <c r="D3" s="12" t="s">
        <v>57</v>
      </c>
      <c r="E3" s="12">
        <f>AB3</f>
        <v>88</v>
      </c>
      <c r="F3" s="23">
        <v>7.0000000000000007E-2</v>
      </c>
      <c r="G3" s="23">
        <v>15</v>
      </c>
      <c r="H3" s="23">
        <v>1600</v>
      </c>
      <c r="I3" s="23">
        <v>490</v>
      </c>
      <c r="J3" s="23">
        <v>145</v>
      </c>
      <c r="K3" s="23">
        <v>296</v>
      </c>
      <c r="L3" s="25">
        <v>7.5</v>
      </c>
      <c r="M3" s="25">
        <v>4</v>
      </c>
      <c r="N3" s="25">
        <v>1</v>
      </c>
      <c r="O3" s="25">
        <f t="shared" si="0"/>
        <v>60</v>
      </c>
      <c r="P3" s="25">
        <v>4</v>
      </c>
      <c r="Q3" s="16">
        <v>63</v>
      </c>
      <c r="R3" s="16">
        <v>101</v>
      </c>
      <c r="S3" s="16">
        <v>67</v>
      </c>
      <c r="T3" s="16">
        <v>24</v>
      </c>
      <c r="U3" s="16">
        <v>21</v>
      </c>
      <c r="V3" s="16">
        <f>(T3+U3)/2</f>
        <v>22.5</v>
      </c>
      <c r="W3" s="55">
        <f>V3/P3</f>
        <v>5.625</v>
      </c>
      <c r="X3" s="16">
        <f>R3-Q3</f>
        <v>38</v>
      </c>
      <c r="Y3" s="16">
        <f>T3-U3</f>
        <v>3</v>
      </c>
      <c r="Z3" s="2">
        <v>75</v>
      </c>
      <c r="AA3" s="2">
        <v>101</v>
      </c>
      <c r="AB3" s="2">
        <f>(Z3+AA3)/2</f>
        <v>88</v>
      </c>
      <c r="AC3" s="2">
        <f>(2.8+3.3)/2</f>
        <v>3.05</v>
      </c>
      <c r="AD3" s="2">
        <v>2.8</v>
      </c>
      <c r="AE3" s="9">
        <v>16.2</v>
      </c>
      <c r="AF3" s="33">
        <f>POWER(10,AE3/10)</f>
        <v>41.686938347033546</v>
      </c>
      <c r="AG3" s="9">
        <v>0.307</v>
      </c>
      <c r="AH3" s="9">
        <v>10.5</v>
      </c>
      <c r="AI3" s="6">
        <f>2*1</f>
        <v>2</v>
      </c>
      <c r="AJ3" s="6"/>
      <c r="AK3" s="6"/>
      <c r="AL3" s="6" t="s">
        <v>35</v>
      </c>
      <c r="AM3" s="6" t="s">
        <v>211</v>
      </c>
      <c r="AN3" s="6" t="s">
        <v>526</v>
      </c>
      <c r="AO3" s="12">
        <v>2022</v>
      </c>
      <c r="AP3" s="12" t="s">
        <v>328</v>
      </c>
      <c r="AQ3" s="63" t="s">
        <v>327</v>
      </c>
      <c r="AR3" s="12" t="s">
        <v>200</v>
      </c>
      <c r="AS3" s="34" t="s">
        <v>329</v>
      </c>
      <c r="AT3" s="86">
        <v>2</v>
      </c>
      <c r="AU3" s="20" t="s">
        <v>287</v>
      </c>
    </row>
    <row r="4" spans="1:47" s="18" customFormat="1" x14ac:dyDescent="0.45">
      <c r="A4" s="12" t="s">
        <v>178</v>
      </c>
      <c r="B4" s="12" t="s">
        <v>95</v>
      </c>
      <c r="C4" s="12" t="s">
        <v>179</v>
      </c>
      <c r="D4" s="12" t="s">
        <v>295</v>
      </c>
      <c r="E4" s="12">
        <f t="shared" ref="E4:E25" si="1">AB4</f>
        <v>104</v>
      </c>
      <c r="F4" s="23">
        <v>0.1</v>
      </c>
      <c r="G4" s="23">
        <v>20</v>
      </c>
      <c r="H4" s="23"/>
      <c r="I4" s="23"/>
      <c r="J4" s="23">
        <v>110</v>
      </c>
      <c r="K4" s="23">
        <v>280</v>
      </c>
      <c r="L4" s="25">
        <v>25</v>
      </c>
      <c r="M4" s="25">
        <v>4</v>
      </c>
      <c r="N4" s="25">
        <v>1</v>
      </c>
      <c r="O4" s="25">
        <f t="shared" si="0"/>
        <v>80</v>
      </c>
      <c r="P4" s="25">
        <v>4</v>
      </c>
      <c r="Q4" s="16">
        <v>106.5</v>
      </c>
      <c r="R4" s="16">
        <v>113.5</v>
      </c>
      <c r="S4" s="16">
        <v>110</v>
      </c>
      <c r="T4" s="16">
        <v>31.4</v>
      </c>
      <c r="U4" s="16">
        <v>28.4</v>
      </c>
      <c r="V4" s="16">
        <f>(T4+U4)/2</f>
        <v>29.9</v>
      </c>
      <c r="W4" s="55">
        <f>V4/P4</f>
        <v>7.4749999999999996</v>
      </c>
      <c r="X4" s="16">
        <f t="shared" ref="X4" si="2">R4-Q4</f>
        <v>7</v>
      </c>
      <c r="Y4" s="16">
        <f t="shared" ref="Y4" si="3">T4-U4</f>
        <v>3</v>
      </c>
      <c r="Z4" s="2"/>
      <c r="AA4" s="2"/>
      <c r="AB4" s="2">
        <v>104</v>
      </c>
      <c r="AC4" s="2"/>
      <c r="AD4" s="2"/>
      <c r="AE4" s="9"/>
      <c r="AF4" s="58"/>
      <c r="AG4" s="9">
        <v>2.4</v>
      </c>
      <c r="AH4" s="9"/>
      <c r="AI4" s="6">
        <f>3*1</f>
        <v>3</v>
      </c>
      <c r="AJ4" s="6"/>
      <c r="AK4" s="6" t="s">
        <v>296</v>
      </c>
      <c r="AL4" s="6" t="s">
        <v>35</v>
      </c>
      <c r="AM4" s="6" t="s">
        <v>146</v>
      </c>
      <c r="AN4" s="6" t="s">
        <v>527</v>
      </c>
      <c r="AO4" s="12">
        <v>2018</v>
      </c>
      <c r="AP4" s="12" t="s">
        <v>330</v>
      </c>
      <c r="AQ4" s="12" t="s">
        <v>299</v>
      </c>
      <c r="AR4" s="12" t="s">
        <v>244</v>
      </c>
      <c r="AS4" s="34" t="s">
        <v>331</v>
      </c>
      <c r="AT4" s="86">
        <v>3</v>
      </c>
      <c r="AU4" s="20" t="s">
        <v>214</v>
      </c>
    </row>
    <row r="5" spans="1:47" s="18" customFormat="1" x14ac:dyDescent="0.45">
      <c r="A5" s="12" t="s">
        <v>178</v>
      </c>
      <c r="B5" s="12" t="s">
        <v>95</v>
      </c>
      <c r="C5" s="12" t="s">
        <v>179</v>
      </c>
      <c r="D5" s="12" t="s">
        <v>295</v>
      </c>
      <c r="E5" s="12">
        <f t="shared" si="1"/>
        <v>104</v>
      </c>
      <c r="F5" s="23">
        <v>0.1</v>
      </c>
      <c r="G5" s="23">
        <v>20</v>
      </c>
      <c r="H5" s="23"/>
      <c r="I5" s="23"/>
      <c r="J5" s="23">
        <v>110</v>
      </c>
      <c r="K5" s="23">
        <v>280</v>
      </c>
      <c r="L5" s="25">
        <v>20</v>
      </c>
      <c r="M5" s="25">
        <v>4</v>
      </c>
      <c r="N5" s="25">
        <v>1</v>
      </c>
      <c r="O5" s="25">
        <f t="shared" si="0"/>
        <v>80</v>
      </c>
      <c r="P5" s="25">
        <v>4</v>
      </c>
      <c r="Q5" s="16"/>
      <c r="R5" s="16"/>
      <c r="S5" s="16"/>
      <c r="T5" s="16"/>
      <c r="U5" s="16"/>
      <c r="V5" s="16"/>
      <c r="W5" s="55"/>
      <c r="X5" s="16"/>
      <c r="Y5" s="16"/>
      <c r="Z5" s="2">
        <v>106.5</v>
      </c>
      <c r="AA5" s="2">
        <v>113.5</v>
      </c>
      <c r="AB5" s="2">
        <v>104</v>
      </c>
      <c r="AC5" s="2">
        <v>7.6</v>
      </c>
      <c r="AD5" s="2"/>
      <c r="AE5" s="9"/>
      <c r="AF5" s="9"/>
      <c r="AG5" s="9">
        <v>1.9</v>
      </c>
      <c r="AH5" s="9"/>
      <c r="AI5" s="6">
        <f t="shared" ref="AI5:AI6" si="4">3*1</f>
        <v>3</v>
      </c>
      <c r="AJ5" s="6"/>
      <c r="AK5" s="6" t="s">
        <v>297</v>
      </c>
      <c r="AL5" s="6" t="s">
        <v>35</v>
      </c>
      <c r="AM5" s="6" t="s">
        <v>146</v>
      </c>
      <c r="AN5" s="6" t="s">
        <v>527</v>
      </c>
      <c r="AO5" s="12">
        <v>2018</v>
      </c>
      <c r="AP5" s="12" t="s">
        <v>330</v>
      </c>
      <c r="AQ5" s="12" t="s">
        <v>299</v>
      </c>
      <c r="AR5" s="12" t="s">
        <v>244</v>
      </c>
      <c r="AS5" s="34" t="s">
        <v>331</v>
      </c>
      <c r="AT5" s="86">
        <v>3</v>
      </c>
      <c r="AU5" s="20" t="s">
        <v>214</v>
      </c>
    </row>
    <row r="6" spans="1:47" s="18" customFormat="1" x14ac:dyDescent="0.45">
      <c r="A6" s="12" t="s">
        <v>178</v>
      </c>
      <c r="B6" s="12" t="s">
        <v>95</v>
      </c>
      <c r="C6" s="12" t="s">
        <v>179</v>
      </c>
      <c r="D6" s="12" t="s">
        <v>295</v>
      </c>
      <c r="E6" s="12">
        <f t="shared" si="1"/>
        <v>104</v>
      </c>
      <c r="F6" s="23">
        <v>0.1</v>
      </c>
      <c r="G6" s="23">
        <v>20</v>
      </c>
      <c r="H6" s="23"/>
      <c r="I6" s="23"/>
      <c r="J6" s="23">
        <v>110</v>
      </c>
      <c r="K6" s="23">
        <v>280</v>
      </c>
      <c r="L6" s="25">
        <v>15</v>
      </c>
      <c r="M6" s="25">
        <v>4</v>
      </c>
      <c r="N6" s="25">
        <v>1</v>
      </c>
      <c r="O6" s="25">
        <f t="shared" si="0"/>
        <v>80</v>
      </c>
      <c r="P6" s="25">
        <v>4</v>
      </c>
      <c r="Q6" s="16"/>
      <c r="R6" s="16"/>
      <c r="S6" s="16"/>
      <c r="T6" s="16"/>
      <c r="U6" s="16"/>
      <c r="V6" s="16"/>
      <c r="W6" s="55"/>
      <c r="X6" s="16"/>
      <c r="Y6" s="16"/>
      <c r="Z6" s="2"/>
      <c r="AA6" s="2"/>
      <c r="AB6" s="2">
        <v>104</v>
      </c>
      <c r="AC6" s="2"/>
      <c r="AD6" s="2"/>
      <c r="AE6" s="9">
        <v>20.3</v>
      </c>
      <c r="AF6" s="64">
        <f>POWER(10, AE6/10)</f>
        <v>107.15193052376075</v>
      </c>
      <c r="AG6" s="9">
        <v>3.6</v>
      </c>
      <c r="AH6" s="9">
        <v>2.6</v>
      </c>
      <c r="AI6" s="6">
        <f t="shared" si="4"/>
        <v>3</v>
      </c>
      <c r="AJ6" s="6"/>
      <c r="AK6" s="6" t="s">
        <v>298</v>
      </c>
      <c r="AL6" s="6" t="s">
        <v>35</v>
      </c>
      <c r="AM6" s="6" t="s">
        <v>146</v>
      </c>
      <c r="AN6" s="6" t="s">
        <v>527</v>
      </c>
      <c r="AO6" s="12">
        <v>2018</v>
      </c>
      <c r="AP6" s="12" t="s">
        <v>330</v>
      </c>
      <c r="AQ6" s="12" t="s">
        <v>299</v>
      </c>
      <c r="AR6" s="12" t="s">
        <v>244</v>
      </c>
      <c r="AS6" s="34" t="s">
        <v>331</v>
      </c>
      <c r="AT6" s="86">
        <v>3</v>
      </c>
      <c r="AU6" s="20" t="s">
        <v>214</v>
      </c>
    </row>
    <row r="7" spans="1:47" s="18" customFormat="1" x14ac:dyDescent="0.45">
      <c r="A7" s="12" t="s">
        <v>186</v>
      </c>
      <c r="B7" s="12" t="s">
        <v>95</v>
      </c>
      <c r="C7" s="12" t="s">
        <v>179</v>
      </c>
      <c r="D7" s="12" t="s">
        <v>61</v>
      </c>
      <c r="E7" s="12">
        <f t="shared" si="1"/>
        <v>84</v>
      </c>
      <c r="F7" s="23">
        <v>0.1</v>
      </c>
      <c r="G7" s="23">
        <v>25</v>
      </c>
      <c r="H7" s="23">
        <v>1600</v>
      </c>
      <c r="I7" s="23">
        <v>550</v>
      </c>
      <c r="J7" s="23">
        <v>80</v>
      </c>
      <c r="K7" s="23">
        <v>200</v>
      </c>
      <c r="L7" s="25">
        <v>10</v>
      </c>
      <c r="M7" s="25">
        <v>4</v>
      </c>
      <c r="N7" s="25">
        <v>1</v>
      </c>
      <c r="O7" s="25">
        <f t="shared" si="0"/>
        <v>100</v>
      </c>
      <c r="P7" s="25">
        <v>4</v>
      </c>
      <c r="Q7" s="16">
        <v>82</v>
      </c>
      <c r="R7" s="16">
        <v>86</v>
      </c>
      <c r="S7" s="16">
        <v>84</v>
      </c>
      <c r="T7" s="16">
        <v>25</v>
      </c>
      <c r="U7" s="16">
        <v>22</v>
      </c>
      <c r="V7" s="16">
        <f>(T7+U7)/2</f>
        <v>23.5</v>
      </c>
      <c r="W7" s="55">
        <f>V7/P7</f>
        <v>5.875</v>
      </c>
      <c r="X7" s="16">
        <f>R7-Q7</f>
        <v>4</v>
      </c>
      <c r="Y7" s="16">
        <f>T7-U7</f>
        <v>3</v>
      </c>
      <c r="Z7" s="2">
        <v>75</v>
      </c>
      <c r="AA7" s="2">
        <v>100</v>
      </c>
      <c r="AB7" s="2">
        <v>84</v>
      </c>
      <c r="AC7" s="2">
        <v>5.6</v>
      </c>
      <c r="AD7" s="2">
        <v>5.6</v>
      </c>
      <c r="AE7" s="9">
        <v>18</v>
      </c>
      <c r="AF7" s="33">
        <f>POWER(10,AE7/10)</f>
        <v>63.095734448019364</v>
      </c>
      <c r="AG7" s="65">
        <v>0.8</v>
      </c>
      <c r="AH7" s="9"/>
      <c r="AI7" s="6">
        <f>1*2.5</f>
        <v>2.5</v>
      </c>
      <c r="AJ7" s="6"/>
      <c r="AK7" s="6"/>
      <c r="AL7" s="6" t="s">
        <v>35</v>
      </c>
      <c r="AM7" s="6" t="s">
        <v>319</v>
      </c>
      <c r="AN7" s="53" t="s">
        <v>611</v>
      </c>
      <c r="AO7" s="12">
        <v>2011</v>
      </c>
      <c r="AP7" s="12" t="s">
        <v>332</v>
      </c>
      <c r="AQ7" s="12" t="s">
        <v>320</v>
      </c>
      <c r="AR7" s="12" t="s">
        <v>197</v>
      </c>
      <c r="AS7" s="34" t="s">
        <v>333</v>
      </c>
      <c r="AT7" s="86">
        <v>4</v>
      </c>
      <c r="AU7" s="20" t="s">
        <v>321</v>
      </c>
    </row>
    <row r="8" spans="1:47" s="39" customFormat="1" x14ac:dyDescent="0.45">
      <c r="A8" s="36"/>
      <c r="B8" s="36"/>
      <c r="C8" s="36"/>
      <c r="D8" s="36"/>
      <c r="E8" s="36"/>
      <c r="F8" s="36"/>
      <c r="G8" s="36"/>
      <c r="H8" s="36"/>
      <c r="I8" s="36"/>
      <c r="J8" s="36"/>
      <c r="K8" s="36"/>
      <c r="L8" s="36"/>
      <c r="M8" s="36"/>
      <c r="N8" s="36"/>
      <c r="O8" s="36"/>
      <c r="P8" s="36"/>
      <c r="Q8" s="36"/>
      <c r="R8" s="36"/>
      <c r="S8" s="36"/>
      <c r="T8" s="36"/>
      <c r="U8" s="36"/>
      <c r="V8" s="36"/>
      <c r="W8" s="40"/>
      <c r="X8" s="36"/>
      <c r="Y8" s="36"/>
      <c r="Z8" s="36"/>
      <c r="AA8" s="36"/>
      <c r="AB8" s="36"/>
      <c r="AC8" s="36"/>
      <c r="AD8" s="36"/>
      <c r="AE8" s="36"/>
      <c r="AF8" s="40"/>
      <c r="AG8" s="47"/>
      <c r="AH8" s="36"/>
      <c r="AI8" s="36"/>
      <c r="AJ8" s="36"/>
      <c r="AK8" s="36"/>
      <c r="AL8" s="36"/>
      <c r="AM8" s="36"/>
      <c r="AN8" s="36"/>
      <c r="AO8" s="36"/>
      <c r="AP8" s="36"/>
      <c r="AQ8" s="36"/>
      <c r="AR8" s="36"/>
      <c r="AS8" s="43"/>
      <c r="AT8" s="87"/>
      <c r="AU8" s="78"/>
    </row>
    <row r="9" spans="1:47" s="18" customFormat="1" x14ac:dyDescent="0.45">
      <c r="A9" s="12" t="s">
        <v>300</v>
      </c>
      <c r="B9" s="12" t="s">
        <v>22</v>
      </c>
      <c r="C9" s="12" t="s">
        <v>300</v>
      </c>
      <c r="D9" s="12" t="s">
        <v>61</v>
      </c>
      <c r="E9" s="12">
        <f t="shared" si="1"/>
        <v>82.5</v>
      </c>
      <c r="F9" s="23">
        <v>0.04</v>
      </c>
      <c r="G9" s="23">
        <v>37.5</v>
      </c>
      <c r="H9" s="23"/>
      <c r="I9" s="23"/>
      <c r="J9" s="23">
        <v>200</v>
      </c>
      <c r="K9" s="23">
        <v>400</v>
      </c>
      <c r="L9" s="25"/>
      <c r="M9" s="25">
        <v>4</v>
      </c>
      <c r="N9" s="25">
        <v>2</v>
      </c>
      <c r="O9" s="25">
        <f>G9*M9*N9</f>
        <v>300</v>
      </c>
      <c r="P9" s="25">
        <v>5</v>
      </c>
      <c r="Q9" s="16">
        <v>60</v>
      </c>
      <c r="R9" s="16">
        <v>105</v>
      </c>
      <c r="S9" s="16"/>
      <c r="T9" s="16">
        <v>25</v>
      </c>
      <c r="U9" s="16">
        <v>23</v>
      </c>
      <c r="V9" s="16">
        <f t="shared" ref="V9" si="5">(T9+U9)/2</f>
        <v>24</v>
      </c>
      <c r="W9" s="55">
        <f>V9/P9</f>
        <v>4.8</v>
      </c>
      <c r="X9" s="16">
        <f t="shared" ref="X9:X10" si="6">R9-Q9</f>
        <v>45</v>
      </c>
      <c r="Y9" s="16">
        <f>T9-U9</f>
        <v>2</v>
      </c>
      <c r="Z9" s="2">
        <v>60</v>
      </c>
      <c r="AA9" s="2">
        <v>105</v>
      </c>
      <c r="AB9" s="2">
        <f t="shared" ref="AB9:AB16" si="7">(Z9+AA9)/2</f>
        <v>82.5</v>
      </c>
      <c r="AC9" s="2">
        <v>4</v>
      </c>
      <c r="AD9" s="2"/>
      <c r="AE9" s="9">
        <v>24</v>
      </c>
      <c r="AF9" s="64">
        <f t="shared" ref="AF9:AF10" si="8">POWER(10, AE9/10)</f>
        <v>251.18864315095806</v>
      </c>
      <c r="AG9" s="64"/>
      <c r="AH9" s="9"/>
      <c r="AI9" s="6">
        <f>2.65*2.5</f>
        <v>6.625</v>
      </c>
      <c r="AJ9" s="6"/>
      <c r="AK9" s="6"/>
      <c r="AL9" s="6" t="s">
        <v>35</v>
      </c>
      <c r="AM9" s="6" t="s">
        <v>301</v>
      </c>
      <c r="AN9" s="6" t="s">
        <v>528</v>
      </c>
      <c r="AO9" s="12">
        <v>2017</v>
      </c>
      <c r="AP9" s="12" t="s">
        <v>334</v>
      </c>
      <c r="AQ9" s="12" t="s">
        <v>302</v>
      </c>
      <c r="AR9" s="12" t="s">
        <v>303</v>
      </c>
      <c r="AS9" s="34" t="s">
        <v>335</v>
      </c>
      <c r="AT9" s="86">
        <v>5</v>
      </c>
      <c r="AU9" s="20" t="s">
        <v>304</v>
      </c>
    </row>
    <row r="10" spans="1:47" s="18" customFormat="1" x14ac:dyDescent="0.45">
      <c r="A10" s="12" t="s">
        <v>300</v>
      </c>
      <c r="B10" s="12" t="s">
        <v>22</v>
      </c>
      <c r="C10" s="12" t="s">
        <v>300</v>
      </c>
      <c r="D10" s="12" t="s">
        <v>102</v>
      </c>
      <c r="E10" s="12">
        <f t="shared" si="1"/>
        <v>140</v>
      </c>
      <c r="F10" s="23">
        <v>0.04</v>
      </c>
      <c r="G10" s="23">
        <v>20</v>
      </c>
      <c r="H10" s="23"/>
      <c r="I10" s="23"/>
      <c r="J10" s="23">
        <v>200</v>
      </c>
      <c r="K10" s="23">
        <v>400</v>
      </c>
      <c r="L10" s="25">
        <v>5</v>
      </c>
      <c r="M10" s="25">
        <v>2</v>
      </c>
      <c r="N10" s="25">
        <v>1</v>
      </c>
      <c r="O10" s="25">
        <f t="shared" ref="O10:O22" si="9">G10*M10*N10</f>
        <v>40</v>
      </c>
      <c r="P10" s="25">
        <v>6</v>
      </c>
      <c r="Q10" s="16">
        <v>110</v>
      </c>
      <c r="R10" s="16">
        <v>170</v>
      </c>
      <c r="S10" s="16"/>
      <c r="T10" s="16"/>
      <c r="U10" s="16">
        <v>25</v>
      </c>
      <c r="V10" s="16">
        <v>25</v>
      </c>
      <c r="W10" s="55">
        <f>V10/P10</f>
        <v>4.166666666666667</v>
      </c>
      <c r="X10" s="16">
        <f t="shared" si="6"/>
        <v>60</v>
      </c>
      <c r="Y10" s="16"/>
      <c r="Z10" s="2">
        <v>110</v>
      </c>
      <c r="AA10" s="2">
        <v>170</v>
      </c>
      <c r="AB10" s="2">
        <f t="shared" si="7"/>
        <v>140</v>
      </c>
      <c r="AC10" s="2">
        <v>6</v>
      </c>
      <c r="AD10" s="2"/>
      <c r="AE10" s="9">
        <v>12</v>
      </c>
      <c r="AF10" s="64">
        <f t="shared" si="8"/>
        <v>15.848931924611136</v>
      </c>
      <c r="AG10" s="66">
        <v>0.22500000000000001</v>
      </c>
      <c r="AH10" s="9"/>
      <c r="AI10" s="6">
        <f>2.1*1</f>
        <v>2.1</v>
      </c>
      <c r="AJ10" s="6"/>
      <c r="AK10" s="6"/>
      <c r="AL10" s="6" t="s">
        <v>35</v>
      </c>
      <c r="AM10" s="6"/>
      <c r="AN10" s="6" t="s">
        <v>528</v>
      </c>
      <c r="AO10" s="12">
        <v>2017</v>
      </c>
      <c r="AP10" s="12" t="s">
        <v>334</v>
      </c>
      <c r="AQ10" s="12" t="s">
        <v>302</v>
      </c>
      <c r="AR10" s="12" t="s">
        <v>305</v>
      </c>
      <c r="AS10" s="34" t="s">
        <v>335</v>
      </c>
      <c r="AT10" s="86">
        <v>5</v>
      </c>
      <c r="AU10" s="20" t="s">
        <v>304</v>
      </c>
    </row>
    <row r="11" spans="1:47" s="18" customFormat="1" x14ac:dyDescent="0.45">
      <c r="A11" s="12" t="s">
        <v>300</v>
      </c>
      <c r="B11" s="51" t="s">
        <v>22</v>
      </c>
      <c r="C11" s="51" t="s">
        <v>592</v>
      </c>
      <c r="D11" s="62"/>
      <c r="E11" s="62"/>
      <c r="F11" s="23">
        <v>0.02</v>
      </c>
      <c r="G11" s="23"/>
      <c r="H11" s="23"/>
      <c r="I11" s="23"/>
      <c r="J11" s="23">
        <v>320</v>
      </c>
      <c r="K11" s="23">
        <v>580</v>
      </c>
      <c r="L11" s="25"/>
      <c r="M11" s="25"/>
      <c r="N11" s="25"/>
      <c r="O11" s="25"/>
      <c r="P11" s="25"/>
      <c r="Q11" s="55"/>
      <c r="R11" s="16"/>
      <c r="S11" s="16"/>
      <c r="T11" s="16"/>
      <c r="U11" s="16"/>
      <c r="V11" s="16"/>
      <c r="W11" s="55"/>
      <c r="X11" s="16"/>
      <c r="Y11" s="16"/>
      <c r="Z11" s="2"/>
      <c r="AA11" s="2"/>
      <c r="AB11" s="2"/>
      <c r="AC11" s="2"/>
      <c r="AD11" s="2"/>
      <c r="AE11" s="9"/>
      <c r="AF11" s="64"/>
      <c r="AG11" s="64"/>
      <c r="AH11" s="9"/>
      <c r="AI11" s="6"/>
      <c r="AJ11" s="6"/>
      <c r="AK11" s="6"/>
      <c r="AL11" s="6" t="s">
        <v>593</v>
      </c>
      <c r="AM11" s="6" t="s">
        <v>594</v>
      </c>
      <c r="AN11" s="6"/>
      <c r="AO11" s="51">
        <v>2016</v>
      </c>
      <c r="AP11" s="51" t="s">
        <v>595</v>
      </c>
      <c r="AQ11" s="51" t="s">
        <v>596</v>
      </c>
      <c r="AR11" s="51" t="s">
        <v>597</v>
      </c>
      <c r="AS11" s="34" t="s">
        <v>598</v>
      </c>
      <c r="AT11" s="86">
        <v>6</v>
      </c>
      <c r="AU11" s="79"/>
    </row>
    <row r="12" spans="1:47" s="18" customFormat="1" x14ac:dyDescent="0.45">
      <c r="A12" s="12" t="s">
        <v>300</v>
      </c>
      <c r="B12" s="12" t="s">
        <v>22</v>
      </c>
      <c r="C12" s="12" t="s">
        <v>300</v>
      </c>
      <c r="D12" s="12" t="s">
        <v>61</v>
      </c>
      <c r="E12" s="12">
        <f t="shared" si="1"/>
        <v>87.5</v>
      </c>
      <c r="F12" s="23">
        <v>0.04</v>
      </c>
      <c r="G12" s="23">
        <v>37.5</v>
      </c>
      <c r="H12" s="23"/>
      <c r="I12" s="23"/>
      <c r="J12" s="23">
        <v>220</v>
      </c>
      <c r="K12" s="23">
        <v>400</v>
      </c>
      <c r="L12" s="25">
        <v>8</v>
      </c>
      <c r="M12" s="25">
        <v>2</v>
      </c>
      <c r="N12" s="25">
        <v>1</v>
      </c>
      <c r="O12" s="25">
        <f t="shared" si="9"/>
        <v>75</v>
      </c>
      <c r="P12" s="25">
        <v>5</v>
      </c>
      <c r="Q12" s="55">
        <v>65</v>
      </c>
      <c r="R12" s="16">
        <v>110</v>
      </c>
      <c r="S12" s="16">
        <v>72</v>
      </c>
      <c r="T12" s="16">
        <v>38</v>
      </c>
      <c r="U12" s="16">
        <v>25</v>
      </c>
      <c r="V12" s="16">
        <v>25</v>
      </c>
      <c r="W12" s="55">
        <f>V12/P12</f>
        <v>5</v>
      </c>
      <c r="X12" s="16">
        <f t="shared" ref="X12:X19" si="10">R12-Q12</f>
        <v>45</v>
      </c>
      <c r="Y12" s="16">
        <f t="shared" ref="Y12:Y19" si="11">T12-U12</f>
        <v>13</v>
      </c>
      <c r="Z12" s="2">
        <v>65</v>
      </c>
      <c r="AA12" s="2">
        <v>110</v>
      </c>
      <c r="AB12" s="2">
        <f t="shared" si="7"/>
        <v>87.5</v>
      </c>
      <c r="AC12" s="2">
        <f>(2.3+3.2)/2</f>
        <v>2.75</v>
      </c>
      <c r="AD12" s="2">
        <v>2.2999999999999998</v>
      </c>
      <c r="AE12" s="9">
        <v>16</v>
      </c>
      <c r="AF12" s="64">
        <f t="shared" ref="AF12:AF13" si="12">POWER(10, AE12/10)</f>
        <v>39.810717055349755</v>
      </c>
      <c r="AG12" s="64"/>
      <c r="AH12" s="9"/>
      <c r="AI12" s="6">
        <f>3*1.3</f>
        <v>3.9000000000000004</v>
      </c>
      <c r="AJ12" s="6"/>
      <c r="AK12" s="6"/>
      <c r="AL12" s="6" t="s">
        <v>35</v>
      </c>
      <c r="AM12" s="6" t="s">
        <v>314</v>
      </c>
      <c r="AN12" s="6"/>
      <c r="AO12" s="12">
        <v>2014</v>
      </c>
      <c r="AP12" s="12" t="s">
        <v>336</v>
      </c>
      <c r="AQ12" s="12" t="s">
        <v>316</v>
      </c>
      <c r="AR12" s="12" t="s">
        <v>317</v>
      </c>
      <c r="AS12" s="34" t="s">
        <v>337</v>
      </c>
      <c r="AT12" s="86">
        <v>7</v>
      </c>
      <c r="AU12" s="20" t="s">
        <v>42</v>
      </c>
    </row>
    <row r="13" spans="1:47" s="18" customFormat="1" x14ac:dyDescent="0.45">
      <c r="A13" s="12" t="s">
        <v>300</v>
      </c>
      <c r="B13" s="12" t="s">
        <v>22</v>
      </c>
      <c r="C13" s="12" t="s">
        <v>300</v>
      </c>
      <c r="D13" s="12" t="s">
        <v>61</v>
      </c>
      <c r="E13" s="12">
        <f t="shared" si="1"/>
        <v>90</v>
      </c>
      <c r="F13" s="23">
        <v>0.04</v>
      </c>
      <c r="G13" s="23">
        <v>25</v>
      </c>
      <c r="H13" s="23"/>
      <c r="I13" s="23"/>
      <c r="J13" s="23">
        <v>220</v>
      </c>
      <c r="K13" s="23">
        <v>400</v>
      </c>
      <c r="L13" s="25">
        <v>8</v>
      </c>
      <c r="M13" s="25">
        <v>2</v>
      </c>
      <c r="N13" s="25">
        <v>1</v>
      </c>
      <c r="O13" s="25">
        <f t="shared" si="9"/>
        <v>50</v>
      </c>
      <c r="P13" s="25">
        <v>4</v>
      </c>
      <c r="Q13" s="55">
        <v>70</v>
      </c>
      <c r="R13" s="16">
        <v>110</v>
      </c>
      <c r="S13" s="16">
        <v>81</v>
      </c>
      <c r="T13" s="16">
        <v>30</v>
      </c>
      <c r="U13" s="16">
        <v>20</v>
      </c>
      <c r="V13" s="16">
        <v>20</v>
      </c>
      <c r="W13" s="55">
        <f>V13/P13</f>
        <v>5</v>
      </c>
      <c r="X13" s="16">
        <f t="shared" si="10"/>
        <v>40</v>
      </c>
      <c r="Y13" s="16">
        <f t="shared" si="11"/>
        <v>10</v>
      </c>
      <c r="Z13" s="2">
        <v>70</v>
      </c>
      <c r="AA13" s="2">
        <v>110</v>
      </c>
      <c r="AB13" s="2">
        <f t="shared" si="7"/>
        <v>90</v>
      </c>
      <c r="AC13" s="2">
        <f>(1.8+2.4)/2</f>
        <v>2.1</v>
      </c>
      <c r="AD13" s="2">
        <v>1.8</v>
      </c>
      <c r="AE13" s="9">
        <v>14</v>
      </c>
      <c r="AF13" s="64">
        <f t="shared" si="12"/>
        <v>25.118864315095799</v>
      </c>
      <c r="AG13" s="64"/>
      <c r="AH13" s="9">
        <v>7.5</v>
      </c>
      <c r="AI13" s="6">
        <f>2*1.3</f>
        <v>2.6</v>
      </c>
      <c r="AJ13" s="6"/>
      <c r="AK13" s="6"/>
      <c r="AL13" s="6" t="s">
        <v>35</v>
      </c>
      <c r="AM13" s="6" t="s">
        <v>314</v>
      </c>
      <c r="AN13" s="6"/>
      <c r="AO13" s="12">
        <v>2014</v>
      </c>
      <c r="AP13" s="12" t="s">
        <v>336</v>
      </c>
      <c r="AQ13" s="12" t="s">
        <v>316</v>
      </c>
      <c r="AR13" s="12" t="s">
        <v>317</v>
      </c>
      <c r="AS13" s="34" t="s">
        <v>337</v>
      </c>
      <c r="AT13" s="86">
        <v>7</v>
      </c>
      <c r="AU13" s="20" t="s">
        <v>42</v>
      </c>
    </row>
    <row r="14" spans="1:47" s="39" customFormat="1" x14ac:dyDescent="0.45">
      <c r="A14" s="36"/>
      <c r="B14" s="36"/>
      <c r="C14" s="36"/>
      <c r="D14" s="36"/>
      <c r="E14" s="36"/>
      <c r="F14" s="36"/>
      <c r="G14" s="36"/>
      <c r="H14" s="36"/>
      <c r="I14" s="36"/>
      <c r="J14" s="36"/>
      <c r="K14" s="36"/>
      <c r="L14" s="36"/>
      <c r="M14" s="36"/>
      <c r="N14" s="36"/>
      <c r="O14" s="36"/>
      <c r="P14" s="36"/>
      <c r="Q14" s="40"/>
      <c r="R14" s="36"/>
      <c r="S14" s="36"/>
      <c r="T14" s="36"/>
      <c r="U14" s="36"/>
      <c r="V14" s="36"/>
      <c r="W14" s="40"/>
      <c r="X14" s="36"/>
      <c r="Y14" s="36"/>
      <c r="Z14" s="36"/>
      <c r="AA14" s="36"/>
      <c r="AB14" s="36"/>
      <c r="AC14" s="36"/>
      <c r="AD14" s="36"/>
      <c r="AE14" s="36"/>
      <c r="AF14" s="48"/>
      <c r="AG14" s="48"/>
      <c r="AH14" s="36"/>
      <c r="AI14" s="36"/>
      <c r="AJ14" s="36"/>
      <c r="AK14" s="36"/>
      <c r="AL14" s="36"/>
      <c r="AM14" s="36"/>
      <c r="AN14" s="36"/>
      <c r="AO14" s="36"/>
      <c r="AP14" s="36"/>
      <c r="AQ14" s="36"/>
      <c r="AR14" s="36"/>
      <c r="AS14" s="43"/>
      <c r="AT14" s="87"/>
      <c r="AU14" s="78"/>
    </row>
    <row r="15" spans="1:47" s="18" customFormat="1" x14ac:dyDescent="0.45">
      <c r="A15" s="12" t="s">
        <v>282</v>
      </c>
      <c r="B15" s="12" t="s">
        <v>22</v>
      </c>
      <c r="C15" s="12" t="s">
        <v>282</v>
      </c>
      <c r="D15" s="12" t="s">
        <v>283</v>
      </c>
      <c r="E15" s="12">
        <f t="shared" si="1"/>
        <v>79</v>
      </c>
      <c r="F15" s="23">
        <v>0.09</v>
      </c>
      <c r="G15" s="23">
        <v>25</v>
      </c>
      <c r="H15" s="23">
        <f>(1.1+1.3)/2*1000</f>
        <v>1200.0000000000002</v>
      </c>
      <c r="I15" s="23">
        <v>700</v>
      </c>
      <c r="J15" s="23">
        <v>145</v>
      </c>
      <c r="K15" s="23">
        <v>250</v>
      </c>
      <c r="L15" s="25">
        <v>5</v>
      </c>
      <c r="M15" s="25">
        <v>2</v>
      </c>
      <c r="N15" s="25">
        <v>1</v>
      </c>
      <c r="O15" s="25">
        <f t="shared" si="9"/>
        <v>50</v>
      </c>
      <c r="P15" s="25">
        <v>4</v>
      </c>
      <c r="Q15" s="16">
        <v>70</v>
      </c>
      <c r="R15" s="16">
        <v>89</v>
      </c>
      <c r="S15" s="16"/>
      <c r="T15" s="16">
        <v>17.899999999999999</v>
      </c>
      <c r="U15" s="16">
        <v>15</v>
      </c>
      <c r="V15" s="16">
        <f>(T15+U15)/2</f>
        <v>16.45</v>
      </c>
      <c r="W15" s="55">
        <f>V15/P15</f>
        <v>4.1124999999999998</v>
      </c>
      <c r="X15" s="16">
        <f t="shared" si="10"/>
        <v>19</v>
      </c>
      <c r="Y15" s="16">
        <f t="shared" si="11"/>
        <v>2.8999999999999986</v>
      </c>
      <c r="Z15" s="2">
        <v>75</v>
      </c>
      <c r="AA15" s="2">
        <v>83</v>
      </c>
      <c r="AB15" s="2">
        <f t="shared" si="7"/>
        <v>79</v>
      </c>
      <c r="AC15" s="2">
        <f>(3.5+4.2)/2</f>
        <v>3.85</v>
      </c>
      <c r="AD15" s="2">
        <v>3.5</v>
      </c>
      <c r="AE15" s="9"/>
      <c r="AF15" s="9"/>
      <c r="AG15" s="9">
        <v>0.2</v>
      </c>
      <c r="AH15" s="9"/>
      <c r="AI15" s="6">
        <f>2.4*1.3</f>
        <v>3.12</v>
      </c>
      <c r="AJ15" s="6"/>
      <c r="AK15" s="6"/>
      <c r="AL15" s="6" t="s">
        <v>35</v>
      </c>
      <c r="AM15" s="6"/>
      <c r="AN15" s="6"/>
      <c r="AO15" s="12">
        <v>2021</v>
      </c>
      <c r="AP15" s="12" t="s">
        <v>339</v>
      </c>
      <c r="AQ15" s="12" t="s">
        <v>338</v>
      </c>
      <c r="AR15" s="12" t="s">
        <v>288</v>
      </c>
      <c r="AS15" s="34" t="s">
        <v>340</v>
      </c>
      <c r="AT15" s="86">
        <v>8</v>
      </c>
      <c r="AU15" s="20" t="s">
        <v>289</v>
      </c>
    </row>
    <row r="16" spans="1:47" s="18" customFormat="1" x14ac:dyDescent="0.45">
      <c r="A16" s="12" t="s">
        <v>282</v>
      </c>
      <c r="B16" s="12" t="s">
        <v>22</v>
      </c>
      <c r="C16" s="12" t="s">
        <v>282</v>
      </c>
      <c r="D16" s="12" t="s">
        <v>61</v>
      </c>
      <c r="E16" s="12">
        <f t="shared" si="1"/>
        <v>93.5</v>
      </c>
      <c r="F16" s="23">
        <v>0.09</v>
      </c>
      <c r="G16" s="23">
        <v>25</v>
      </c>
      <c r="H16" s="23">
        <f>(1.1+1.3)/2*1000</f>
        <v>1200.0000000000002</v>
      </c>
      <c r="I16" s="23">
        <v>700</v>
      </c>
      <c r="J16" s="23">
        <v>145</v>
      </c>
      <c r="K16" s="23">
        <v>250</v>
      </c>
      <c r="L16" s="25">
        <v>5</v>
      </c>
      <c r="M16" s="25">
        <v>2</v>
      </c>
      <c r="N16" s="25">
        <v>1</v>
      </c>
      <c r="O16" s="25">
        <f t="shared" si="9"/>
        <v>50</v>
      </c>
      <c r="P16" s="25">
        <v>4</v>
      </c>
      <c r="Q16" s="16">
        <v>90</v>
      </c>
      <c r="R16" s="16">
        <v>110</v>
      </c>
      <c r="S16" s="16"/>
      <c r="T16" s="16">
        <v>19.2</v>
      </c>
      <c r="U16" s="16">
        <v>15.8</v>
      </c>
      <c r="V16" s="16">
        <f>(T16+U16)/2</f>
        <v>17.5</v>
      </c>
      <c r="W16" s="55">
        <f>V16/P16</f>
        <v>4.375</v>
      </c>
      <c r="X16" s="16">
        <f t="shared" si="10"/>
        <v>20</v>
      </c>
      <c r="Y16" s="16">
        <f t="shared" si="11"/>
        <v>3.3999999999999986</v>
      </c>
      <c r="Z16" s="2">
        <v>91</v>
      </c>
      <c r="AA16" s="2">
        <v>96</v>
      </c>
      <c r="AB16" s="2">
        <f t="shared" si="7"/>
        <v>93.5</v>
      </c>
      <c r="AC16" s="2">
        <f>(3.3+3.8)/2</f>
        <v>3.55</v>
      </c>
      <c r="AD16" s="2">
        <v>3.3</v>
      </c>
      <c r="AE16" s="9"/>
      <c r="AF16" s="9"/>
      <c r="AG16" s="9">
        <v>0.2</v>
      </c>
      <c r="AH16" s="9"/>
      <c r="AI16" s="6">
        <f>2.4*1.3</f>
        <v>3.12</v>
      </c>
      <c r="AJ16" s="6"/>
      <c r="AK16" s="6"/>
      <c r="AL16" s="6" t="s">
        <v>35</v>
      </c>
      <c r="AM16" s="6"/>
      <c r="AN16" s="6"/>
      <c r="AO16" s="12">
        <v>2021</v>
      </c>
      <c r="AP16" s="12" t="s">
        <v>339</v>
      </c>
      <c r="AQ16" s="12" t="s">
        <v>338</v>
      </c>
      <c r="AR16" s="12" t="s">
        <v>288</v>
      </c>
      <c r="AS16" s="34" t="s">
        <v>340</v>
      </c>
      <c r="AT16" s="86">
        <v>8</v>
      </c>
      <c r="AU16" s="20" t="s">
        <v>289</v>
      </c>
    </row>
    <row r="17" spans="1:49" s="39" customFormat="1" x14ac:dyDescent="0.45">
      <c r="A17" s="36"/>
      <c r="B17" s="36"/>
      <c r="C17" s="36"/>
      <c r="D17" s="36"/>
      <c r="E17" s="36"/>
      <c r="F17" s="36"/>
      <c r="G17" s="36"/>
      <c r="H17" s="36"/>
      <c r="I17" s="36"/>
      <c r="J17" s="36"/>
      <c r="K17" s="36"/>
      <c r="L17" s="36"/>
      <c r="M17" s="36"/>
      <c r="N17" s="36"/>
      <c r="O17" s="36"/>
      <c r="P17" s="36"/>
      <c r="Q17" s="36"/>
      <c r="R17" s="36"/>
      <c r="S17" s="36"/>
      <c r="T17" s="36"/>
      <c r="U17" s="36"/>
      <c r="V17" s="36"/>
      <c r="W17" s="40"/>
      <c r="X17" s="36"/>
      <c r="Y17" s="36"/>
      <c r="Z17" s="36"/>
      <c r="AA17" s="36"/>
      <c r="AB17" s="36"/>
      <c r="AC17" s="36"/>
      <c r="AD17" s="36"/>
      <c r="AE17" s="36"/>
      <c r="AF17" s="36"/>
      <c r="AG17" s="36"/>
      <c r="AH17" s="36"/>
      <c r="AI17" s="36"/>
      <c r="AJ17" s="36"/>
      <c r="AK17" s="36"/>
      <c r="AL17" s="36"/>
      <c r="AM17" s="36"/>
      <c r="AN17" s="36"/>
      <c r="AO17" s="36"/>
      <c r="AP17" s="36"/>
      <c r="AQ17" s="36"/>
      <c r="AR17" s="36"/>
      <c r="AS17" s="43"/>
      <c r="AT17" s="87"/>
      <c r="AU17" s="78"/>
    </row>
    <row r="18" spans="1:49" s="18" customFormat="1" x14ac:dyDescent="0.45">
      <c r="A18" s="12" t="s">
        <v>306</v>
      </c>
      <c r="B18" s="12" t="s">
        <v>22</v>
      </c>
      <c r="C18" s="12" t="s">
        <v>307</v>
      </c>
      <c r="D18" s="12" t="s">
        <v>61</v>
      </c>
      <c r="E18" s="12">
        <f t="shared" si="1"/>
        <v>87.5</v>
      </c>
      <c r="F18" s="23">
        <v>0.1</v>
      </c>
      <c r="G18" s="23">
        <v>25</v>
      </c>
      <c r="H18" s="23"/>
      <c r="I18" s="23"/>
      <c r="J18" s="23"/>
      <c r="K18" s="23"/>
      <c r="L18" s="25">
        <v>5</v>
      </c>
      <c r="M18" s="25">
        <v>4</v>
      </c>
      <c r="N18" s="25">
        <v>1</v>
      </c>
      <c r="O18" s="25">
        <f t="shared" si="9"/>
        <v>100</v>
      </c>
      <c r="P18" s="25">
        <v>4</v>
      </c>
      <c r="Q18" s="16">
        <v>92</v>
      </c>
      <c r="R18" s="16">
        <v>96</v>
      </c>
      <c r="S18" s="16"/>
      <c r="T18" s="16">
        <v>20</v>
      </c>
      <c r="U18" s="16">
        <v>17</v>
      </c>
      <c r="V18" s="16">
        <v>18</v>
      </c>
      <c r="W18" s="55">
        <f>V18/P18</f>
        <v>4.5</v>
      </c>
      <c r="X18" s="16">
        <f t="shared" si="10"/>
        <v>4</v>
      </c>
      <c r="Y18" s="16">
        <f t="shared" si="11"/>
        <v>3</v>
      </c>
      <c r="Z18" s="2">
        <v>65</v>
      </c>
      <c r="AA18" s="2">
        <v>110</v>
      </c>
      <c r="AB18" s="2">
        <f t="shared" ref="AB18:AB19" si="13">(Z18+AA18)/2</f>
        <v>87.5</v>
      </c>
      <c r="AC18" s="2">
        <v>4.5</v>
      </c>
      <c r="AD18" s="2">
        <v>4.5</v>
      </c>
      <c r="AE18" s="9"/>
      <c r="AF18" s="9"/>
      <c r="AG18" s="9">
        <v>0.128</v>
      </c>
      <c r="AH18" s="9"/>
      <c r="AI18" s="6">
        <v>2.6</v>
      </c>
      <c r="AJ18" s="6"/>
      <c r="AK18" s="6" t="s">
        <v>308</v>
      </c>
      <c r="AL18" s="6" t="s">
        <v>35</v>
      </c>
      <c r="AM18" s="6" t="s">
        <v>309</v>
      </c>
      <c r="AN18" s="6" t="s">
        <v>529</v>
      </c>
      <c r="AO18" s="12">
        <v>2016</v>
      </c>
      <c r="AP18" s="12" t="s">
        <v>341</v>
      </c>
      <c r="AQ18" s="12" t="s">
        <v>310</v>
      </c>
      <c r="AR18" s="12" t="s">
        <v>311</v>
      </c>
      <c r="AS18" s="34" t="s">
        <v>342</v>
      </c>
      <c r="AT18" s="86">
        <v>9</v>
      </c>
      <c r="AU18" s="20" t="s">
        <v>312</v>
      </c>
    </row>
    <row r="19" spans="1:49" s="18" customFormat="1" x14ac:dyDescent="0.45">
      <c r="A19" s="12" t="s">
        <v>306</v>
      </c>
      <c r="B19" s="12" t="s">
        <v>22</v>
      </c>
      <c r="C19" s="12" t="s">
        <v>307</v>
      </c>
      <c r="D19" s="12" t="s">
        <v>61</v>
      </c>
      <c r="E19" s="12">
        <f t="shared" si="1"/>
        <v>90</v>
      </c>
      <c r="F19" s="23">
        <v>0.1</v>
      </c>
      <c r="G19" s="23">
        <v>25</v>
      </c>
      <c r="H19" s="23"/>
      <c r="I19" s="23"/>
      <c r="J19" s="23"/>
      <c r="K19" s="23"/>
      <c r="L19" s="25">
        <v>5</v>
      </c>
      <c r="M19" s="25">
        <v>4</v>
      </c>
      <c r="N19" s="25">
        <v>1</v>
      </c>
      <c r="O19" s="25">
        <f t="shared" si="9"/>
        <v>100</v>
      </c>
      <c r="P19" s="25">
        <v>4</v>
      </c>
      <c r="Q19" s="16">
        <v>92</v>
      </c>
      <c r="R19" s="16">
        <v>96</v>
      </c>
      <c r="S19" s="16"/>
      <c r="T19" s="16">
        <v>20</v>
      </c>
      <c r="U19" s="16">
        <v>17</v>
      </c>
      <c r="V19" s="16">
        <v>20</v>
      </c>
      <c r="W19" s="55">
        <f>V19/P19</f>
        <v>5</v>
      </c>
      <c r="X19" s="16">
        <f t="shared" si="10"/>
        <v>4</v>
      </c>
      <c r="Y19" s="16">
        <f t="shared" si="11"/>
        <v>3</v>
      </c>
      <c r="Z19" s="2">
        <v>70</v>
      </c>
      <c r="AA19" s="2">
        <v>110</v>
      </c>
      <c r="AB19" s="2">
        <f t="shared" si="13"/>
        <v>90</v>
      </c>
      <c r="AC19" s="2">
        <v>3.25</v>
      </c>
      <c r="AD19" s="2">
        <v>3</v>
      </c>
      <c r="AE19" s="9"/>
      <c r="AF19" s="9"/>
      <c r="AG19" s="9">
        <v>0.128</v>
      </c>
      <c r="AH19" s="9"/>
      <c r="AI19" s="6">
        <v>2.6</v>
      </c>
      <c r="AJ19" s="6"/>
      <c r="AK19" s="6" t="s">
        <v>308</v>
      </c>
      <c r="AL19" s="6" t="s">
        <v>35</v>
      </c>
      <c r="AM19" s="6" t="s">
        <v>313</v>
      </c>
      <c r="AN19" s="6" t="s">
        <v>529</v>
      </c>
      <c r="AO19" s="12">
        <v>2016</v>
      </c>
      <c r="AP19" s="12" t="s">
        <v>341</v>
      </c>
      <c r="AQ19" s="12" t="s">
        <v>310</v>
      </c>
      <c r="AR19" s="12" t="s">
        <v>311</v>
      </c>
      <c r="AS19" s="34" t="s">
        <v>342</v>
      </c>
      <c r="AT19" s="86">
        <v>9</v>
      </c>
      <c r="AU19" s="20" t="s">
        <v>312</v>
      </c>
    </row>
    <row r="20" spans="1:49" s="39" customFormat="1" x14ac:dyDescent="0.45">
      <c r="A20" s="36"/>
      <c r="B20" s="36"/>
      <c r="C20" s="36"/>
      <c r="D20" s="36"/>
      <c r="E20" s="36"/>
      <c r="F20" s="36"/>
      <c r="G20" s="36"/>
      <c r="H20" s="36"/>
      <c r="I20" s="36"/>
      <c r="J20" s="36"/>
      <c r="K20" s="36"/>
      <c r="L20" s="36"/>
      <c r="M20" s="36"/>
      <c r="N20" s="36"/>
      <c r="O20" s="36"/>
      <c r="P20" s="36"/>
      <c r="Q20" s="36"/>
      <c r="R20" s="36"/>
      <c r="S20" s="36"/>
      <c r="T20" s="36"/>
      <c r="U20" s="36"/>
      <c r="V20" s="36"/>
      <c r="W20" s="40"/>
      <c r="X20" s="36"/>
      <c r="Y20" s="36"/>
      <c r="Z20" s="36"/>
      <c r="AA20" s="36"/>
      <c r="AB20" s="36"/>
      <c r="AC20" s="36"/>
      <c r="AD20" s="36"/>
      <c r="AE20" s="36"/>
      <c r="AF20" s="36"/>
      <c r="AG20" s="36"/>
      <c r="AH20" s="36"/>
      <c r="AI20" s="36"/>
      <c r="AJ20" s="36"/>
      <c r="AK20" s="36"/>
      <c r="AL20" s="36"/>
      <c r="AM20" s="36"/>
      <c r="AN20" s="36"/>
      <c r="AO20" s="36"/>
      <c r="AP20" s="36"/>
      <c r="AQ20" s="36"/>
      <c r="AR20" s="36"/>
      <c r="AS20" s="43"/>
      <c r="AT20" s="87"/>
      <c r="AU20" s="78"/>
    </row>
    <row r="21" spans="1:49" s="18" customFormat="1" x14ac:dyDescent="0.45">
      <c r="A21" s="12" t="s">
        <v>284</v>
      </c>
      <c r="B21" s="12" t="s">
        <v>285</v>
      </c>
      <c r="C21" s="12" t="s">
        <v>286</v>
      </c>
      <c r="D21" s="12" t="s">
        <v>61</v>
      </c>
      <c r="E21" s="12">
        <f t="shared" si="1"/>
        <v>80.75</v>
      </c>
      <c r="F21" s="23">
        <v>0.1</v>
      </c>
      <c r="G21" s="23">
        <v>50</v>
      </c>
      <c r="H21" s="23"/>
      <c r="I21" s="23"/>
      <c r="J21" s="23"/>
      <c r="K21" s="23">
        <v>140</v>
      </c>
      <c r="L21" s="25">
        <v>9</v>
      </c>
      <c r="M21" s="25">
        <v>2</v>
      </c>
      <c r="N21" s="25">
        <v>1</v>
      </c>
      <c r="O21" s="25">
        <f t="shared" si="9"/>
        <v>100</v>
      </c>
      <c r="P21" s="25">
        <v>3</v>
      </c>
      <c r="Q21" s="16">
        <v>77.5</v>
      </c>
      <c r="R21" s="16">
        <v>84</v>
      </c>
      <c r="S21" s="16">
        <v>80</v>
      </c>
      <c r="T21" s="16">
        <v>20.5</v>
      </c>
      <c r="U21" s="16">
        <v>17.5</v>
      </c>
      <c r="V21" s="16">
        <f t="shared" ref="V21:V22" si="14">(T21+U21)/2</f>
        <v>19</v>
      </c>
      <c r="W21" s="55">
        <f>V21/P21</f>
        <v>6.333333333333333</v>
      </c>
      <c r="X21" s="16">
        <f t="shared" ref="X21:X22" si="15">R21-Q21</f>
        <v>6.5</v>
      </c>
      <c r="Y21" s="16">
        <f t="shared" ref="Y21:Y22" si="16">T21-U21</f>
        <v>3</v>
      </c>
      <c r="Z21" s="2">
        <v>77.5</v>
      </c>
      <c r="AA21" s="2">
        <v>84</v>
      </c>
      <c r="AB21" s="2">
        <f t="shared" ref="AB21:AB22" si="17">(Z21+AA21)/2</f>
        <v>80.75</v>
      </c>
      <c r="AC21" s="2">
        <f>(3.8+4.7)/2</f>
        <v>4.25</v>
      </c>
      <c r="AD21" s="2">
        <f>(3.8+4.7)/2</f>
        <v>4.25</v>
      </c>
      <c r="AE21" s="9">
        <v>3.8</v>
      </c>
      <c r="AF21" s="33">
        <f>POWER(10,AE21/10)</f>
        <v>2.3988329190194908</v>
      </c>
      <c r="AG21" s="9">
        <v>0.19</v>
      </c>
      <c r="AH21" s="9"/>
      <c r="AI21" s="6">
        <f>3*1.6</f>
        <v>4.8000000000000007</v>
      </c>
      <c r="AJ21" s="6"/>
      <c r="AK21" s="6"/>
      <c r="AL21" s="6" t="s">
        <v>35</v>
      </c>
      <c r="AM21" s="6" t="s">
        <v>290</v>
      </c>
      <c r="AN21" s="6" t="s">
        <v>530</v>
      </c>
      <c r="AO21" s="12">
        <v>2020</v>
      </c>
      <c r="AP21" s="12" t="s">
        <v>343</v>
      </c>
      <c r="AQ21" s="12" t="s">
        <v>291</v>
      </c>
      <c r="AR21" s="12" t="s">
        <v>292</v>
      </c>
      <c r="AS21" s="34" t="s">
        <v>344</v>
      </c>
      <c r="AT21" s="86">
        <v>10</v>
      </c>
      <c r="AU21" s="20" t="s">
        <v>293</v>
      </c>
    </row>
    <row r="22" spans="1:49" s="18" customFormat="1" x14ac:dyDescent="0.45">
      <c r="A22" s="12" t="s">
        <v>284</v>
      </c>
      <c r="B22" s="12" t="s">
        <v>285</v>
      </c>
      <c r="C22" s="12" t="s">
        <v>286</v>
      </c>
      <c r="D22" s="12" t="s">
        <v>61</v>
      </c>
      <c r="E22" s="12">
        <f t="shared" si="1"/>
        <v>84.25</v>
      </c>
      <c r="F22" s="23">
        <v>0.1</v>
      </c>
      <c r="G22" s="23">
        <v>50</v>
      </c>
      <c r="H22" s="23"/>
      <c r="I22" s="23"/>
      <c r="J22" s="23"/>
      <c r="K22" s="23">
        <v>140</v>
      </c>
      <c r="L22" s="25">
        <v>9</v>
      </c>
      <c r="M22" s="25">
        <v>2</v>
      </c>
      <c r="N22" s="25">
        <v>1</v>
      </c>
      <c r="O22" s="25">
        <f t="shared" si="9"/>
        <v>100</v>
      </c>
      <c r="P22" s="25">
        <v>3</v>
      </c>
      <c r="Q22" s="16">
        <v>78.5</v>
      </c>
      <c r="R22" s="16">
        <v>90</v>
      </c>
      <c r="S22" s="16">
        <v>79.5</v>
      </c>
      <c r="T22" s="16">
        <v>17</v>
      </c>
      <c r="U22" s="16">
        <v>14.5</v>
      </c>
      <c r="V22" s="16">
        <f t="shared" si="14"/>
        <v>15.75</v>
      </c>
      <c r="W22" s="55">
        <f>V22/P22</f>
        <v>5.25</v>
      </c>
      <c r="X22" s="16">
        <f t="shared" si="15"/>
        <v>11.5</v>
      </c>
      <c r="Y22" s="16">
        <f t="shared" si="16"/>
        <v>2.5</v>
      </c>
      <c r="Z22" s="2">
        <v>78.5</v>
      </c>
      <c r="AA22" s="2">
        <v>90</v>
      </c>
      <c r="AB22" s="2">
        <f t="shared" si="17"/>
        <v>84.25</v>
      </c>
      <c r="AC22" s="2">
        <f>(4.5+5.2)/2</f>
        <v>4.8499999999999996</v>
      </c>
      <c r="AD22" s="2">
        <f>(4.5+5.2)/2</f>
        <v>4.8499999999999996</v>
      </c>
      <c r="AE22" s="9">
        <v>4.5</v>
      </c>
      <c r="AF22" s="33">
        <f>POWER(10,AE22/10)</f>
        <v>2.8183829312644542</v>
      </c>
      <c r="AG22" s="9">
        <v>0.19</v>
      </c>
      <c r="AH22" s="9"/>
      <c r="AI22" s="6">
        <f>3*1.4</f>
        <v>4.1999999999999993</v>
      </c>
      <c r="AJ22" s="6"/>
      <c r="AK22" s="6"/>
      <c r="AL22" s="6" t="s">
        <v>35</v>
      </c>
      <c r="AM22" s="6" t="s">
        <v>294</v>
      </c>
      <c r="AN22" s="6" t="s">
        <v>530</v>
      </c>
      <c r="AO22" s="12">
        <v>2020</v>
      </c>
      <c r="AP22" s="12" t="s">
        <v>343</v>
      </c>
      <c r="AQ22" s="12" t="s">
        <v>291</v>
      </c>
      <c r="AR22" s="12" t="s">
        <v>292</v>
      </c>
      <c r="AS22" s="34" t="s">
        <v>344</v>
      </c>
      <c r="AT22" s="86">
        <v>10</v>
      </c>
      <c r="AU22" s="20" t="s">
        <v>293</v>
      </c>
    </row>
    <row r="23" spans="1:49" s="39" customFormat="1" x14ac:dyDescent="0.45">
      <c r="A23" s="44"/>
      <c r="B23" s="44"/>
      <c r="C23" s="44"/>
      <c r="D23" s="44"/>
      <c r="E23" s="44"/>
      <c r="F23" s="44"/>
      <c r="G23" s="44"/>
      <c r="H23" s="44"/>
      <c r="I23" s="44"/>
      <c r="J23" s="44"/>
      <c r="K23" s="44"/>
      <c r="L23" s="44"/>
      <c r="M23" s="44"/>
      <c r="N23" s="44"/>
      <c r="O23" s="44"/>
      <c r="P23" s="44"/>
      <c r="Q23" s="44"/>
      <c r="R23" s="44"/>
      <c r="S23" s="44"/>
      <c r="T23" s="44"/>
      <c r="U23" s="44"/>
      <c r="V23" s="44"/>
      <c r="W23" s="67"/>
      <c r="X23" s="44"/>
      <c r="Y23" s="44"/>
      <c r="Z23" s="44"/>
      <c r="AA23" s="44"/>
      <c r="AB23" s="44"/>
      <c r="AC23" s="44"/>
      <c r="AD23" s="44"/>
      <c r="AE23" s="44"/>
      <c r="AF23" s="67"/>
      <c r="AG23" s="44"/>
      <c r="AH23" s="44"/>
      <c r="AI23" s="44"/>
      <c r="AJ23" s="44"/>
      <c r="AK23" s="44"/>
      <c r="AL23" s="44"/>
      <c r="AM23" s="44"/>
      <c r="AN23" s="44"/>
      <c r="AO23" s="44"/>
      <c r="AP23" s="44"/>
      <c r="AQ23" s="44"/>
      <c r="AR23" s="44"/>
      <c r="AS23" s="43"/>
      <c r="AT23" s="87"/>
      <c r="AU23" s="78"/>
    </row>
    <row r="24" spans="1:49" s="18" customFormat="1" x14ac:dyDescent="0.45">
      <c r="A24" s="12" t="s">
        <v>65</v>
      </c>
      <c r="B24" s="12" t="s">
        <v>66</v>
      </c>
      <c r="C24" s="12" t="s">
        <v>65</v>
      </c>
      <c r="D24" s="12" t="s">
        <v>61</v>
      </c>
      <c r="E24" s="12">
        <f t="shared" si="1"/>
        <v>73.75</v>
      </c>
      <c r="F24" s="23">
        <v>0.12</v>
      </c>
      <c r="G24" s="23"/>
      <c r="H24" s="23"/>
      <c r="I24" s="23"/>
      <c r="J24" s="23">
        <v>75</v>
      </c>
      <c r="K24" s="23">
        <v>200</v>
      </c>
      <c r="L24" s="25">
        <v>20</v>
      </c>
      <c r="M24" s="25"/>
      <c r="N24" s="25">
        <v>1</v>
      </c>
      <c r="O24" s="25">
        <v>100</v>
      </c>
      <c r="P24" s="25">
        <v>4</v>
      </c>
      <c r="Q24" s="16">
        <v>69</v>
      </c>
      <c r="R24" s="16">
        <v>78.5</v>
      </c>
      <c r="S24" s="16">
        <v>72</v>
      </c>
      <c r="T24" s="16">
        <v>25.5</v>
      </c>
      <c r="U24" s="16">
        <v>20</v>
      </c>
      <c r="V24" s="16">
        <f>(T24+U24)/2</f>
        <v>22.75</v>
      </c>
      <c r="W24" s="55">
        <f>V24/P24</f>
        <v>5.6875</v>
      </c>
      <c r="X24" s="16">
        <f t="shared" ref="X24:X25" si="18">R24-Q24</f>
        <v>9.5</v>
      </c>
      <c r="Y24" s="16">
        <f t="shared" ref="Y24:Y25" si="19">T24-U24</f>
        <v>5.5</v>
      </c>
      <c r="Z24" s="2">
        <v>69</v>
      </c>
      <c r="AA24" s="2">
        <v>78.5</v>
      </c>
      <c r="AB24" s="2">
        <f>(Z24+AA24)/2</f>
        <v>73.75</v>
      </c>
      <c r="AC24" s="2"/>
      <c r="AD24" s="2"/>
      <c r="AE24" s="9"/>
      <c r="AF24" s="64"/>
      <c r="AG24" s="64"/>
      <c r="AH24" s="9"/>
      <c r="AI24" s="6">
        <f>3*1.4</f>
        <v>4.1999999999999993</v>
      </c>
      <c r="AJ24" s="6"/>
      <c r="AK24" s="6"/>
      <c r="AL24" s="6" t="s">
        <v>35</v>
      </c>
      <c r="AM24" s="6" t="s">
        <v>296</v>
      </c>
      <c r="AN24" s="6" t="s">
        <v>531</v>
      </c>
      <c r="AO24" s="12">
        <v>2009</v>
      </c>
      <c r="AP24" s="12" t="s">
        <v>345</v>
      </c>
      <c r="AQ24" s="12" t="s">
        <v>322</v>
      </c>
      <c r="AR24" s="12" t="s">
        <v>323</v>
      </c>
      <c r="AS24" s="12" t="s">
        <v>397</v>
      </c>
      <c r="AT24" s="86">
        <v>11</v>
      </c>
      <c r="AU24" s="20" t="s">
        <v>324</v>
      </c>
    </row>
    <row r="25" spans="1:49" x14ac:dyDescent="0.45">
      <c r="A25" s="12" t="s">
        <v>65</v>
      </c>
      <c r="B25" s="12" t="s">
        <v>66</v>
      </c>
      <c r="C25" s="12" t="s">
        <v>65</v>
      </c>
      <c r="D25" s="12" t="s">
        <v>61</v>
      </c>
      <c r="E25" s="12">
        <f t="shared" si="1"/>
        <v>80</v>
      </c>
      <c r="F25" s="23">
        <v>0.12</v>
      </c>
      <c r="G25" s="23"/>
      <c r="H25" s="23"/>
      <c r="I25" s="23"/>
      <c r="J25" s="23">
        <v>75</v>
      </c>
      <c r="K25" s="23">
        <v>200</v>
      </c>
      <c r="L25" s="25">
        <v>10</v>
      </c>
      <c r="M25" s="25"/>
      <c r="N25" s="25">
        <v>1</v>
      </c>
      <c r="O25" s="25">
        <v>100</v>
      </c>
      <c r="P25" s="25">
        <v>4</v>
      </c>
      <c r="Q25" s="16"/>
      <c r="R25" s="16"/>
      <c r="S25" s="16"/>
      <c r="T25" s="16"/>
      <c r="U25" s="16"/>
      <c r="V25" s="16">
        <v>20.399999999999999</v>
      </c>
      <c r="W25" s="55">
        <f>V25/P25</f>
        <v>5.0999999999999996</v>
      </c>
      <c r="X25" s="16">
        <f t="shared" si="18"/>
        <v>0</v>
      </c>
      <c r="Y25" s="16">
        <f t="shared" si="19"/>
        <v>0</v>
      </c>
      <c r="Z25" s="2">
        <v>75</v>
      </c>
      <c r="AA25" s="2">
        <v>82</v>
      </c>
      <c r="AB25" s="2">
        <v>80</v>
      </c>
      <c r="AC25" s="2"/>
      <c r="AD25" s="2">
        <v>3.8</v>
      </c>
      <c r="AE25" s="9"/>
      <c r="AF25" s="9"/>
      <c r="AG25" s="9"/>
      <c r="AH25" s="9"/>
      <c r="AI25" s="6">
        <f t="shared" ref="AI25" si="20">3*1.4</f>
        <v>4.1999999999999993</v>
      </c>
      <c r="AJ25" s="6"/>
      <c r="AK25" s="6"/>
      <c r="AL25" s="6" t="s">
        <v>35</v>
      </c>
      <c r="AM25" s="6" t="s">
        <v>297</v>
      </c>
      <c r="AN25" s="6" t="s">
        <v>531</v>
      </c>
      <c r="AO25" s="12">
        <v>2009</v>
      </c>
      <c r="AP25" s="12" t="s">
        <v>345</v>
      </c>
      <c r="AQ25" s="12" t="s">
        <v>322</v>
      </c>
      <c r="AR25" s="12" t="s">
        <v>323</v>
      </c>
      <c r="AS25" s="12" t="s">
        <v>397</v>
      </c>
      <c r="AT25" s="86">
        <v>11</v>
      </c>
      <c r="AU25" s="20" t="s">
        <v>324</v>
      </c>
      <c r="AV25" s="18"/>
      <c r="AW25" s="18"/>
    </row>
    <row r="26" spans="1:49" s="46" customFormat="1" x14ac:dyDescent="0.45">
      <c r="A26" s="38"/>
      <c r="B26" s="38"/>
      <c r="C26" s="38"/>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5"/>
      <c r="AR26" s="45"/>
      <c r="AS26" s="45"/>
      <c r="AT26" s="87"/>
      <c r="AU26" s="78"/>
    </row>
    <row r="27" spans="1:49" s="20" customFormat="1" x14ac:dyDescent="0.45">
      <c r="A27" s="62" t="s">
        <v>300</v>
      </c>
      <c r="B27" s="62" t="s">
        <v>22</v>
      </c>
      <c r="C27" s="62" t="s">
        <v>300</v>
      </c>
      <c r="D27" s="62"/>
      <c r="E27" s="62"/>
      <c r="F27" s="62"/>
      <c r="G27" s="62"/>
      <c r="H27" s="62"/>
      <c r="I27" s="62"/>
      <c r="J27" s="62"/>
      <c r="K27" s="62"/>
      <c r="L27" s="62"/>
      <c r="M27" s="62"/>
      <c r="N27" s="62"/>
      <c r="O27" s="62"/>
      <c r="P27" s="62"/>
      <c r="Q27" s="62"/>
      <c r="R27" s="62"/>
      <c r="S27" s="62"/>
      <c r="T27" s="62"/>
      <c r="U27" s="62"/>
      <c r="V27" s="62"/>
      <c r="W27" s="76"/>
      <c r="X27" s="62">
        <f>R27-Q27</f>
        <v>0</v>
      </c>
      <c r="Y27" s="62">
        <f>T27-U27</f>
        <v>0</v>
      </c>
      <c r="Z27" s="62"/>
      <c r="AA27" s="62"/>
      <c r="AB27" s="62"/>
      <c r="AC27" s="62"/>
      <c r="AD27" s="62"/>
      <c r="AE27" s="62"/>
      <c r="AF27" s="62"/>
      <c r="AG27" s="62"/>
      <c r="AH27" s="62"/>
      <c r="AI27" s="62"/>
      <c r="AJ27" s="62"/>
      <c r="AK27" s="62"/>
      <c r="AL27" s="62" t="s">
        <v>35</v>
      </c>
      <c r="AM27" s="62"/>
      <c r="AN27" s="62"/>
      <c r="AO27" s="62">
        <v>2014</v>
      </c>
      <c r="AP27" s="62" t="s">
        <v>336</v>
      </c>
      <c r="AQ27" s="62" t="s">
        <v>318</v>
      </c>
      <c r="AR27" s="62" t="s">
        <v>317</v>
      </c>
      <c r="AS27" s="77" t="s">
        <v>346</v>
      </c>
      <c r="AT27" s="10">
        <v>12</v>
      </c>
      <c r="AU27" s="20" t="s">
        <v>31</v>
      </c>
      <c r="AV27" s="20" t="s">
        <v>315</v>
      </c>
    </row>
    <row r="28" spans="1:49" s="20" customFormat="1" x14ac:dyDescent="0.4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0"/>
    </row>
    <row r="29" spans="1:49" s="20" customFormat="1" x14ac:dyDescent="0.4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0"/>
    </row>
  </sheetData>
  <phoneticPr fontId="2"/>
  <hyperlinks>
    <hyperlink ref="AS3" r:id="rId1" xr:uid="{EA003A01-47F7-4996-B0EC-A13F0163B150}"/>
    <hyperlink ref="AS4" r:id="rId2" xr:uid="{2DB9FA83-A408-47E5-926C-0B0E6F6114F9}"/>
    <hyperlink ref="AS5" r:id="rId3" xr:uid="{2BCAECC3-6C9B-478F-A157-28E1A48C65BE}"/>
    <hyperlink ref="AS6" r:id="rId4" xr:uid="{74990F40-C9D6-48A0-A062-411CFF681E04}"/>
    <hyperlink ref="AS7" r:id="rId5" xr:uid="{291BA71F-F63E-4B52-8320-7F88E6CF1D4C}"/>
    <hyperlink ref="AS9" r:id="rId6" xr:uid="{D272396A-9751-4CE1-90DF-FD2B36215AB5}"/>
    <hyperlink ref="AS10" r:id="rId7" xr:uid="{C0B3D1E1-CC63-48E4-81EB-FCF9B217A61B}"/>
    <hyperlink ref="AS12" r:id="rId8" xr:uid="{8C290B54-137F-4E45-8E0E-89E5D099F9A5}"/>
    <hyperlink ref="AS13" r:id="rId9" xr:uid="{1777D035-1851-487B-8440-91647E3D86C0}"/>
    <hyperlink ref="AS16" r:id="rId10" xr:uid="{150BC8EB-6412-4138-8579-1647816015C8}"/>
    <hyperlink ref="AS15" r:id="rId11" xr:uid="{42638D19-7205-494B-AA7B-068FEC5DF90F}"/>
    <hyperlink ref="AS18" r:id="rId12" xr:uid="{4197A4F6-E924-4ED7-9BCB-10CA1D5F675E}"/>
    <hyperlink ref="AS19" r:id="rId13" xr:uid="{467002F1-8AD3-4AB8-B205-DF9106EF76CF}"/>
    <hyperlink ref="AS21" r:id="rId14" xr:uid="{7A147656-0433-4F8C-B344-E88BAB406AE1}"/>
    <hyperlink ref="AS22" r:id="rId15" xr:uid="{9F00B09C-A3DE-42A9-BDE1-116316576398}"/>
    <hyperlink ref="AS27" r:id="rId16" xr:uid="{154287D8-B3FA-4FCA-ADC9-0A19B97377B0}"/>
    <hyperlink ref="AS2" r:id="rId17" xr:uid="{23391CB7-C24B-4F20-9096-886D6FD20C77}"/>
    <hyperlink ref="AS11" r:id="rId18" xr:uid="{15B0DE30-386E-4F93-8D99-498BE39F2BA9}"/>
  </hyperlinks>
  <pageMargins left="0.7" right="0.7" top="0.75" bottom="0.75" header="0.3" footer="0.3"/>
  <pageSetup paperSize="9" orientation="portrait" horizontalDpi="4294967293" verticalDpi="4294967293" r:id="rId19"/>
  <ignoredErrors>
    <ignoredError sqref="AF7" formula="1"/>
  </ignoredErrors>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387B-95F0-4CA8-9983-A346B848FAA9}">
  <dimension ref="A1:AU31"/>
  <sheetViews>
    <sheetView zoomScale="55" zoomScaleNormal="55" workbookViewId="0">
      <pane xSplit="1" ySplit="1" topLeftCell="W2" activePane="bottomRight" state="frozen"/>
      <selection pane="topRight" activeCell="B1" sqref="B1"/>
      <selection pane="bottomLeft" activeCell="A2" sqref="A2"/>
      <selection pane="bottomRight" activeCell="AO2" sqref="AO2:AO27"/>
    </sheetView>
  </sheetViews>
  <sheetFormatPr defaultColWidth="9" defaultRowHeight="18" x14ac:dyDescent="0.45"/>
  <cols>
    <col min="1" max="1" width="11.19921875" style="13" bestFit="1" customWidth="1"/>
    <col min="2" max="2" width="12.09765625" style="13" bestFit="1" customWidth="1"/>
    <col min="3" max="3" width="9.19921875" style="13" bestFit="1" customWidth="1"/>
    <col min="4" max="4" width="10.5" style="13" bestFit="1" customWidth="1"/>
    <col min="5" max="5" width="11.19921875" style="13" bestFit="1" customWidth="1"/>
    <col min="6" max="6" width="8" style="13" bestFit="1" customWidth="1"/>
    <col min="7" max="7" width="9.59765625" style="13" bestFit="1" customWidth="1"/>
    <col min="8" max="8" width="14.3984375" style="13" bestFit="1" customWidth="1"/>
    <col min="9" max="9" width="13.09765625" style="13" bestFit="1" customWidth="1"/>
    <col min="10" max="10" width="8.59765625" style="13" bestFit="1" customWidth="1"/>
    <col min="11" max="11" width="11.5" style="13" bestFit="1" customWidth="1"/>
    <col min="12" max="12" width="17.3984375" style="13" bestFit="1" customWidth="1"/>
    <col min="13" max="13" width="7.19921875" style="13" bestFit="1" customWidth="1"/>
    <col min="14" max="14" width="5.5" style="13" bestFit="1" customWidth="1"/>
    <col min="15" max="15" width="8.5" style="13" bestFit="1" customWidth="1"/>
    <col min="16" max="16" width="11.19921875" style="13" bestFit="1" customWidth="1"/>
    <col min="17" max="17" width="14.8984375" style="20" bestFit="1" customWidth="1"/>
    <col min="18" max="18" width="15.09765625" style="20" bestFit="1" customWidth="1"/>
    <col min="19" max="19" width="17" style="13" bestFit="1" customWidth="1"/>
    <col min="20" max="20" width="14.59765625" style="13" bestFit="1" customWidth="1"/>
    <col min="21" max="21" width="13.59765625" style="13" bestFit="1" customWidth="1"/>
    <col min="22" max="22" width="9.3984375" style="13" bestFit="1" customWidth="1"/>
    <col min="23" max="23" width="15.5" style="13" bestFit="1" customWidth="1"/>
    <col min="24" max="24" width="9.59765625" style="20" bestFit="1" customWidth="1"/>
    <col min="25" max="25" width="8.69921875" style="20" bestFit="1" customWidth="1"/>
    <col min="26" max="26" width="13.19921875" style="13" bestFit="1" customWidth="1"/>
    <col min="27" max="28" width="13.5" style="13" bestFit="1" customWidth="1"/>
    <col min="29" max="29" width="8" style="13" bestFit="1" customWidth="1"/>
    <col min="30" max="30" width="12.3984375" style="13" bestFit="1" customWidth="1"/>
    <col min="31" max="31" width="11.09765625" style="13" bestFit="1" customWidth="1"/>
    <col min="32" max="32" width="11" style="13" bestFit="1" customWidth="1"/>
    <col min="33" max="33" width="8.09765625" style="13" bestFit="1" customWidth="1"/>
    <col min="34" max="34" width="8.19921875" style="13" bestFit="1" customWidth="1"/>
    <col min="35" max="35" width="10.8984375" style="13" bestFit="1" customWidth="1"/>
    <col min="36" max="36" width="11" style="13" bestFit="1" customWidth="1"/>
    <col min="37" max="37" width="10.5" style="13" bestFit="1" customWidth="1"/>
    <col min="38" max="38" width="10.09765625" style="13" bestFit="1" customWidth="1"/>
    <col min="39" max="39" width="11.59765625" style="13" bestFit="1" customWidth="1"/>
    <col min="40" max="40" width="11.59765625" style="13" customWidth="1"/>
    <col min="41" max="41" width="5.59765625" style="13" bestFit="1" customWidth="1"/>
    <col min="42" max="42" width="100.09765625" style="13" bestFit="1" customWidth="1"/>
    <col min="43" max="43" width="125.19921875" style="13" bestFit="1" customWidth="1"/>
    <col min="44" max="44" width="21" style="13" bestFit="1" customWidth="1"/>
    <col min="45" max="45" width="50.09765625" style="13" bestFit="1" customWidth="1"/>
    <col min="46" max="46" width="4.69921875" bestFit="1" customWidth="1"/>
    <col min="47" max="47" width="5" bestFit="1" customWidth="1"/>
    <col min="48" max="16384" width="9" style="13"/>
  </cols>
  <sheetData>
    <row r="1" spans="1:47" x14ac:dyDescent="0.45">
      <c r="A1" s="10" t="s">
        <v>0</v>
      </c>
      <c r="B1" s="10" t="s">
        <v>1</v>
      </c>
      <c r="C1" s="10" t="s">
        <v>2</v>
      </c>
      <c r="D1" s="10" t="s">
        <v>3</v>
      </c>
      <c r="E1" s="10" t="s">
        <v>77</v>
      </c>
      <c r="F1" s="21" t="s">
        <v>5</v>
      </c>
      <c r="G1" s="21" t="s">
        <v>505</v>
      </c>
      <c r="H1" s="21" t="s">
        <v>7</v>
      </c>
      <c r="I1" s="21" t="s">
        <v>8</v>
      </c>
      <c r="J1" s="21" t="s">
        <v>9</v>
      </c>
      <c r="K1" s="21" t="s">
        <v>10</v>
      </c>
      <c r="L1" s="17" t="s">
        <v>4</v>
      </c>
      <c r="M1" s="17" t="s">
        <v>500</v>
      </c>
      <c r="N1" s="17" t="s">
        <v>501</v>
      </c>
      <c r="O1" s="17" t="s">
        <v>6</v>
      </c>
      <c r="P1" s="17" t="s">
        <v>93</v>
      </c>
      <c r="Q1" s="16" t="s">
        <v>85</v>
      </c>
      <c r="R1" s="16" t="s">
        <v>90</v>
      </c>
      <c r="S1" s="14" t="s">
        <v>86</v>
      </c>
      <c r="T1" s="14" t="s">
        <v>82</v>
      </c>
      <c r="U1" s="14" t="s">
        <v>83</v>
      </c>
      <c r="V1" s="14" t="s">
        <v>81</v>
      </c>
      <c r="W1" s="14" t="s">
        <v>177</v>
      </c>
      <c r="X1" s="16" t="s">
        <v>16</v>
      </c>
      <c r="Y1" s="16" t="s">
        <v>84</v>
      </c>
      <c r="Z1" s="1" t="s">
        <v>87</v>
      </c>
      <c r="AA1" s="1" t="s">
        <v>88</v>
      </c>
      <c r="AB1" s="1" t="s">
        <v>89</v>
      </c>
      <c r="AC1" s="1" t="s">
        <v>176</v>
      </c>
      <c r="AD1" s="1" t="s">
        <v>11</v>
      </c>
      <c r="AE1" s="7" t="s">
        <v>12</v>
      </c>
      <c r="AF1" s="7" t="s">
        <v>13</v>
      </c>
      <c r="AG1" s="7" t="s">
        <v>14</v>
      </c>
      <c r="AH1" s="7" t="s">
        <v>15</v>
      </c>
      <c r="AI1" s="4" t="s">
        <v>17</v>
      </c>
      <c r="AJ1" s="4" t="s">
        <v>503</v>
      </c>
      <c r="AK1" s="4" t="s">
        <v>504</v>
      </c>
      <c r="AL1" s="4" t="s">
        <v>18</v>
      </c>
      <c r="AM1" s="4" t="s">
        <v>19</v>
      </c>
      <c r="AN1" s="4" t="s">
        <v>502</v>
      </c>
      <c r="AO1" s="10" t="s">
        <v>20</v>
      </c>
      <c r="AP1" s="10" t="s">
        <v>91</v>
      </c>
      <c r="AQ1" s="10" t="s">
        <v>80</v>
      </c>
      <c r="AR1" s="10" t="s">
        <v>79</v>
      </c>
      <c r="AS1" s="10" t="s">
        <v>78</v>
      </c>
      <c r="AT1" s="86" t="s">
        <v>605</v>
      </c>
      <c r="AU1" t="s">
        <v>603</v>
      </c>
    </row>
    <row r="2" spans="1:47" s="18" customFormat="1" x14ac:dyDescent="0.45">
      <c r="A2" s="12" t="s">
        <v>21</v>
      </c>
      <c r="B2" s="12" t="s">
        <v>22</v>
      </c>
      <c r="C2" s="12" t="s">
        <v>21</v>
      </c>
      <c r="D2" s="12" t="s">
        <v>111</v>
      </c>
      <c r="E2" s="12">
        <f>AB2</f>
        <v>220</v>
      </c>
      <c r="F2" s="23"/>
      <c r="G2" s="23"/>
      <c r="H2" s="23"/>
      <c r="I2" s="23"/>
      <c r="J2" s="23"/>
      <c r="K2" s="23"/>
      <c r="L2" s="25">
        <v>1</v>
      </c>
      <c r="M2" s="25"/>
      <c r="N2" s="25"/>
      <c r="O2" s="25"/>
      <c r="P2" s="25"/>
      <c r="Q2" s="16">
        <v>215</v>
      </c>
      <c r="R2" s="16">
        <v>225</v>
      </c>
      <c r="S2" s="16">
        <v>215</v>
      </c>
      <c r="T2" s="16">
        <v>36</v>
      </c>
      <c r="U2" s="16">
        <v>34</v>
      </c>
      <c r="V2" s="55">
        <f>(T2+U2)/2</f>
        <v>35</v>
      </c>
      <c r="W2" s="68"/>
      <c r="X2" s="16">
        <f>R2-Q2</f>
        <v>10</v>
      </c>
      <c r="Y2" s="16">
        <f>T2-U2</f>
        <v>2</v>
      </c>
      <c r="Z2" s="2">
        <v>215</v>
      </c>
      <c r="AA2" s="2">
        <v>225</v>
      </c>
      <c r="AB2" s="2">
        <v>220</v>
      </c>
      <c r="AC2" s="2">
        <f>(4.2+3.9)/2</f>
        <v>4.05</v>
      </c>
      <c r="AD2" s="2">
        <v>3.9</v>
      </c>
      <c r="AE2" s="9"/>
      <c r="AF2" s="9"/>
      <c r="AG2" s="9"/>
      <c r="AH2" s="9"/>
      <c r="AI2" s="6"/>
      <c r="AJ2" s="6"/>
      <c r="AK2" s="6"/>
      <c r="AL2" s="6" t="s">
        <v>25</v>
      </c>
      <c r="AM2" s="6"/>
      <c r="AN2" s="53" t="s">
        <v>532</v>
      </c>
      <c r="AO2" s="12">
        <v>2019</v>
      </c>
      <c r="AP2" s="12" t="s">
        <v>368</v>
      </c>
      <c r="AQ2" s="12" t="s">
        <v>53</v>
      </c>
      <c r="AR2" s="12" t="s">
        <v>54</v>
      </c>
      <c r="AS2" s="34" t="s">
        <v>369</v>
      </c>
      <c r="AT2" s="86">
        <v>1</v>
      </c>
      <c r="AU2" t="s">
        <v>55</v>
      </c>
    </row>
    <row r="3" spans="1:47" s="18" customFormat="1" x14ac:dyDescent="0.45">
      <c r="A3" s="12" t="s">
        <v>21</v>
      </c>
      <c r="B3" s="12" t="s">
        <v>22</v>
      </c>
      <c r="C3" s="12" t="s">
        <v>21</v>
      </c>
      <c r="D3" s="12" t="s">
        <v>23</v>
      </c>
      <c r="E3" s="12">
        <f>AB3</f>
        <v>850</v>
      </c>
      <c r="F3" s="23">
        <v>2.5000000000000001E-2</v>
      </c>
      <c r="G3" s="23"/>
      <c r="H3" s="23">
        <v>1200</v>
      </c>
      <c r="I3" s="23">
        <v>3052</v>
      </c>
      <c r="J3" s="23">
        <v>610</v>
      </c>
      <c r="K3" s="23">
        <v>1500</v>
      </c>
      <c r="L3" s="25">
        <v>1.2</v>
      </c>
      <c r="M3" s="25"/>
      <c r="N3" s="25">
        <v>1</v>
      </c>
      <c r="O3" s="25">
        <v>10</v>
      </c>
      <c r="P3" s="25">
        <v>10</v>
      </c>
      <c r="Q3" s="16">
        <v>780</v>
      </c>
      <c r="R3" s="16">
        <v>870</v>
      </c>
      <c r="S3" s="16">
        <v>830</v>
      </c>
      <c r="T3" s="16">
        <v>14.8</v>
      </c>
      <c r="U3" s="16">
        <v>10</v>
      </c>
      <c r="V3" s="55">
        <f>(T3+U3)/2</f>
        <v>12.4</v>
      </c>
      <c r="W3" s="68">
        <f t="shared" ref="W3:W14" si="0">V3/P3</f>
        <v>1.24</v>
      </c>
      <c r="X3" s="16">
        <f t="shared" ref="X3:X25" si="1">R3-Q3</f>
        <v>90</v>
      </c>
      <c r="Y3" s="16">
        <f t="shared" ref="Y3:Y25" si="2">T3-U3</f>
        <v>4.8000000000000007</v>
      </c>
      <c r="Z3" s="2"/>
      <c r="AA3" s="2"/>
      <c r="AB3" s="2">
        <v>850</v>
      </c>
      <c r="AC3" s="2">
        <v>12</v>
      </c>
      <c r="AD3" s="2">
        <v>10.7</v>
      </c>
      <c r="AE3" s="9">
        <v>-0.3</v>
      </c>
      <c r="AF3" s="9">
        <v>0.93</v>
      </c>
      <c r="AG3" s="9">
        <v>5.5E-2</v>
      </c>
      <c r="AH3" s="9"/>
      <c r="AI3" s="6"/>
      <c r="AJ3" s="6"/>
      <c r="AK3" s="6" t="s">
        <v>24</v>
      </c>
      <c r="AL3" s="6" t="s">
        <v>25</v>
      </c>
      <c r="AM3" s="6" t="s">
        <v>534</v>
      </c>
      <c r="AN3" s="6" t="s">
        <v>533</v>
      </c>
      <c r="AO3" s="12">
        <v>2017</v>
      </c>
      <c r="AP3" s="12" t="s">
        <v>347</v>
      </c>
      <c r="AQ3" s="12" t="s">
        <v>26</v>
      </c>
      <c r="AR3" s="12" t="s">
        <v>27</v>
      </c>
      <c r="AS3" s="34" t="s">
        <v>348</v>
      </c>
      <c r="AT3" s="86">
        <v>2</v>
      </c>
      <c r="AU3" t="s">
        <v>28</v>
      </c>
    </row>
    <row r="4" spans="1:47" s="18" customFormat="1" x14ac:dyDescent="0.45">
      <c r="A4" s="12" t="s">
        <v>21</v>
      </c>
      <c r="B4" s="12" t="s">
        <v>22</v>
      </c>
      <c r="C4" s="12" t="s">
        <v>21</v>
      </c>
      <c r="D4" s="12" t="s">
        <v>76</v>
      </c>
      <c r="E4" s="12">
        <f t="shared" ref="E4:E26" si="3">AB4</f>
        <v>1000</v>
      </c>
      <c r="F4" s="23">
        <v>2.5000000000000001E-2</v>
      </c>
      <c r="G4" s="23">
        <v>4</v>
      </c>
      <c r="H4" s="23"/>
      <c r="I4" s="23"/>
      <c r="J4" s="23">
        <v>610</v>
      </c>
      <c r="K4" s="23">
        <v>1500</v>
      </c>
      <c r="L4" s="25"/>
      <c r="M4" s="25">
        <v>2</v>
      </c>
      <c r="N4" s="25">
        <v>1</v>
      </c>
      <c r="O4" s="25">
        <f>G4*M4*N4</f>
        <v>8</v>
      </c>
      <c r="P4" s="25">
        <v>10</v>
      </c>
      <c r="Q4" s="16">
        <v>990</v>
      </c>
      <c r="R4" s="16">
        <v>1000</v>
      </c>
      <c r="S4" s="16">
        <v>993</v>
      </c>
      <c r="T4" s="16">
        <v>11</v>
      </c>
      <c r="U4" s="16">
        <v>10</v>
      </c>
      <c r="V4" s="55">
        <v>10</v>
      </c>
      <c r="W4" s="68">
        <f t="shared" si="0"/>
        <v>1</v>
      </c>
      <c r="X4" s="16">
        <f t="shared" si="1"/>
        <v>10</v>
      </c>
      <c r="Y4" s="16">
        <f t="shared" si="2"/>
        <v>1</v>
      </c>
      <c r="Z4" s="2"/>
      <c r="AA4" s="2"/>
      <c r="AB4" s="2">
        <v>1000</v>
      </c>
      <c r="AC4" s="2"/>
      <c r="AD4" s="2"/>
      <c r="AE4" s="9"/>
      <c r="AF4" s="9"/>
      <c r="AG4" s="9"/>
      <c r="AH4" s="9"/>
      <c r="AI4" s="6"/>
      <c r="AJ4" s="6"/>
      <c r="AK4" s="6"/>
      <c r="AL4" s="6" t="s">
        <v>25</v>
      </c>
      <c r="AM4" s="6"/>
      <c r="AN4" s="6" t="s">
        <v>535</v>
      </c>
      <c r="AO4" s="12">
        <v>2016</v>
      </c>
      <c r="AP4" s="12" t="s">
        <v>349</v>
      </c>
      <c r="AQ4" s="12" t="s">
        <v>29</v>
      </c>
      <c r="AR4" s="12" t="s">
        <v>30</v>
      </c>
      <c r="AS4" s="34" t="s">
        <v>350</v>
      </c>
      <c r="AT4" s="86">
        <v>3</v>
      </c>
      <c r="AU4" t="s">
        <v>31</v>
      </c>
    </row>
    <row r="5" spans="1:47" s="18" customFormat="1" x14ac:dyDescent="0.45">
      <c r="A5" s="12" t="s">
        <v>21</v>
      </c>
      <c r="B5" s="12" t="s">
        <v>22</v>
      </c>
      <c r="C5" s="12" t="s">
        <v>21</v>
      </c>
      <c r="D5" s="12" t="s">
        <v>588</v>
      </c>
      <c r="E5" s="12">
        <f t="shared" si="3"/>
        <v>668</v>
      </c>
      <c r="F5" s="23">
        <v>2.5000000000000001E-2</v>
      </c>
      <c r="G5" s="23"/>
      <c r="H5" s="23"/>
      <c r="I5" s="23"/>
      <c r="J5" s="23"/>
      <c r="K5" s="23"/>
      <c r="L5" s="25"/>
      <c r="M5" s="25"/>
      <c r="N5" s="25"/>
      <c r="O5" s="25"/>
      <c r="P5" s="25">
        <v>8</v>
      </c>
      <c r="Q5" s="16">
        <v>658</v>
      </c>
      <c r="R5" s="16">
        <v>678</v>
      </c>
      <c r="S5" s="16">
        <v>665</v>
      </c>
      <c r="T5" s="16">
        <v>29.5</v>
      </c>
      <c r="U5" s="16">
        <v>26.5</v>
      </c>
      <c r="V5" s="55">
        <v>27.5</v>
      </c>
      <c r="W5" s="68">
        <f t="shared" si="0"/>
        <v>3.4375</v>
      </c>
      <c r="X5" s="16">
        <f t="shared" si="1"/>
        <v>20</v>
      </c>
      <c r="Y5" s="16">
        <f t="shared" si="2"/>
        <v>3</v>
      </c>
      <c r="Z5" s="2">
        <v>658</v>
      </c>
      <c r="AA5" s="2">
        <v>678</v>
      </c>
      <c r="AB5" s="2">
        <f>(Z5+AA5)/2</f>
        <v>668</v>
      </c>
      <c r="AC5" s="69">
        <v>9.6</v>
      </c>
      <c r="AD5" s="2">
        <v>9.1</v>
      </c>
      <c r="AE5" s="70"/>
      <c r="AF5" s="9">
        <v>9.9000000000000005E-2</v>
      </c>
      <c r="AG5" s="9"/>
      <c r="AH5" s="9"/>
      <c r="AI5" s="59">
        <f>2.15*0.375</f>
        <v>0.80624999999999991</v>
      </c>
      <c r="AJ5" s="59"/>
      <c r="AK5" s="6"/>
      <c r="AL5" s="6" t="s">
        <v>25</v>
      </c>
      <c r="AM5" s="6"/>
      <c r="AN5" s="53" t="s">
        <v>536</v>
      </c>
      <c r="AO5" s="12">
        <v>2016</v>
      </c>
      <c r="AP5" s="12" t="s">
        <v>351</v>
      </c>
      <c r="AQ5" s="12" t="s">
        <v>32</v>
      </c>
      <c r="AR5" s="12" t="s">
        <v>30</v>
      </c>
      <c r="AS5" s="34" t="s">
        <v>352</v>
      </c>
      <c r="AT5" s="86">
        <v>4</v>
      </c>
      <c r="AU5" t="s">
        <v>33</v>
      </c>
    </row>
    <row r="6" spans="1:47" s="18" customFormat="1" x14ac:dyDescent="0.45">
      <c r="A6" s="12" t="s">
        <v>21</v>
      </c>
      <c r="B6" s="12" t="s">
        <v>22</v>
      </c>
      <c r="C6" s="12" t="s">
        <v>21</v>
      </c>
      <c r="D6" s="12" t="s">
        <v>588</v>
      </c>
      <c r="E6" s="12">
        <f t="shared" si="3"/>
        <v>669.5</v>
      </c>
      <c r="F6" s="23">
        <v>2.5000000000000001E-2</v>
      </c>
      <c r="G6" s="23"/>
      <c r="H6" s="23"/>
      <c r="I6" s="23">
        <v>3000</v>
      </c>
      <c r="J6" s="23">
        <v>610</v>
      </c>
      <c r="K6" s="23">
        <v>1500</v>
      </c>
      <c r="L6" s="25"/>
      <c r="M6" s="25"/>
      <c r="N6" s="25"/>
      <c r="O6" s="25">
        <v>12</v>
      </c>
      <c r="P6" s="25">
        <v>8</v>
      </c>
      <c r="Q6" s="16">
        <v>660</v>
      </c>
      <c r="R6" s="16">
        <v>687</v>
      </c>
      <c r="S6" s="16">
        <v>675</v>
      </c>
      <c r="T6" s="16">
        <v>17</v>
      </c>
      <c r="U6" s="16">
        <v>15</v>
      </c>
      <c r="V6" s="55">
        <v>16</v>
      </c>
      <c r="W6" s="68">
        <f t="shared" si="0"/>
        <v>2</v>
      </c>
      <c r="X6" s="16">
        <f t="shared" si="1"/>
        <v>27</v>
      </c>
      <c r="Y6" s="16">
        <f t="shared" si="2"/>
        <v>2</v>
      </c>
      <c r="Z6" s="2">
        <v>661</v>
      </c>
      <c r="AA6" s="2">
        <v>678</v>
      </c>
      <c r="AB6" s="2">
        <f>SUM(Z6:AA6)/2</f>
        <v>669.5</v>
      </c>
      <c r="AC6" s="2">
        <v>9.6</v>
      </c>
      <c r="AD6" s="2">
        <v>9.4</v>
      </c>
      <c r="AE6" s="9"/>
      <c r="AF6" s="9"/>
      <c r="AG6" s="9"/>
      <c r="AH6" s="9"/>
      <c r="AI6" s="6"/>
      <c r="AJ6" s="6"/>
      <c r="AK6" s="6"/>
      <c r="AL6" s="6" t="s">
        <v>25</v>
      </c>
      <c r="AM6" s="6"/>
      <c r="AN6" s="6"/>
      <c r="AO6" s="12">
        <v>2016</v>
      </c>
      <c r="AP6" s="12" t="s">
        <v>354</v>
      </c>
      <c r="AQ6" s="12" t="s">
        <v>353</v>
      </c>
      <c r="AR6" s="12" t="s">
        <v>30</v>
      </c>
      <c r="AS6" s="34" t="s">
        <v>355</v>
      </c>
      <c r="AT6" s="86">
        <v>5</v>
      </c>
      <c r="AU6" t="s">
        <v>34</v>
      </c>
    </row>
    <row r="7" spans="1:47" s="18" customFormat="1" x14ac:dyDescent="0.45">
      <c r="A7" s="12" t="s">
        <v>21</v>
      </c>
      <c r="B7" s="12" t="s">
        <v>22</v>
      </c>
      <c r="C7" s="12" t="s">
        <v>21</v>
      </c>
      <c r="D7" s="12" t="s">
        <v>76</v>
      </c>
      <c r="E7" s="12">
        <f t="shared" si="3"/>
        <v>1000</v>
      </c>
      <c r="F7" s="23">
        <v>2.5000000000000001E-2</v>
      </c>
      <c r="G7" s="23">
        <v>4</v>
      </c>
      <c r="H7" s="23"/>
      <c r="I7" s="23">
        <v>3100</v>
      </c>
      <c r="J7" s="23">
        <v>610</v>
      </c>
      <c r="K7" s="23">
        <v>1500</v>
      </c>
      <c r="L7" s="25"/>
      <c r="M7" s="25">
        <v>2</v>
      </c>
      <c r="N7" s="25">
        <v>1</v>
      </c>
      <c r="O7" s="25">
        <f>G7*M7*N7</f>
        <v>8</v>
      </c>
      <c r="P7" s="25">
        <v>10</v>
      </c>
      <c r="Q7" s="16">
        <v>955</v>
      </c>
      <c r="R7" s="16">
        <v>1050</v>
      </c>
      <c r="S7" s="16">
        <v>993</v>
      </c>
      <c r="T7" s="16">
        <v>11</v>
      </c>
      <c r="U7" s="16">
        <v>7</v>
      </c>
      <c r="V7" s="55">
        <v>9</v>
      </c>
      <c r="W7" s="68">
        <f t="shared" si="0"/>
        <v>0.9</v>
      </c>
      <c r="X7" s="16">
        <f t="shared" si="1"/>
        <v>95</v>
      </c>
      <c r="Y7" s="16">
        <f t="shared" si="2"/>
        <v>4</v>
      </c>
      <c r="Z7" s="2"/>
      <c r="AA7" s="2"/>
      <c r="AB7" s="2">
        <v>1000</v>
      </c>
      <c r="AC7" s="2"/>
      <c r="AD7" s="2"/>
      <c r="AE7" s="9"/>
      <c r="AF7" s="9"/>
      <c r="AG7" s="9"/>
      <c r="AH7" s="9"/>
      <c r="AI7" s="6"/>
      <c r="AJ7" s="6"/>
      <c r="AK7" s="6"/>
      <c r="AL7" s="6" t="s">
        <v>35</v>
      </c>
      <c r="AM7" s="6"/>
      <c r="AN7" s="6" t="s">
        <v>537</v>
      </c>
      <c r="AO7" s="12">
        <v>2015</v>
      </c>
      <c r="AP7" s="12" t="s">
        <v>356</v>
      </c>
      <c r="AQ7" s="12" t="s">
        <v>36</v>
      </c>
      <c r="AR7" s="12" t="s">
        <v>37</v>
      </c>
      <c r="AS7" s="34" t="s">
        <v>357</v>
      </c>
      <c r="AT7" s="86">
        <v>6</v>
      </c>
      <c r="AU7" t="s">
        <v>38</v>
      </c>
    </row>
    <row r="8" spans="1:47" s="18" customFormat="1" x14ac:dyDescent="0.45">
      <c r="A8" s="12" t="s">
        <v>21</v>
      </c>
      <c r="B8" s="12" t="s">
        <v>22</v>
      </c>
      <c r="C8" s="12" t="s">
        <v>21</v>
      </c>
      <c r="D8" s="12" t="s">
        <v>23</v>
      </c>
      <c r="E8" s="12">
        <f t="shared" si="3"/>
        <v>850</v>
      </c>
      <c r="F8" s="23">
        <v>2.5000000000000001E-2</v>
      </c>
      <c r="G8" s="23"/>
      <c r="H8" s="23"/>
      <c r="I8" s="23"/>
      <c r="J8" s="23">
        <v>610</v>
      </c>
      <c r="K8" s="23">
        <v>1500</v>
      </c>
      <c r="L8" s="25"/>
      <c r="M8" s="25"/>
      <c r="N8" s="25"/>
      <c r="O8" s="25"/>
      <c r="P8" s="25">
        <v>10</v>
      </c>
      <c r="Q8" s="16">
        <v>796</v>
      </c>
      <c r="R8" s="16">
        <v>862</v>
      </c>
      <c r="S8" s="16">
        <v>831</v>
      </c>
      <c r="T8" s="16">
        <v>15</v>
      </c>
      <c r="U8" s="16">
        <v>12</v>
      </c>
      <c r="V8" s="55">
        <f>(T8+U8)/2</f>
        <v>13.5</v>
      </c>
      <c r="W8" s="68">
        <f t="shared" si="0"/>
        <v>1.35</v>
      </c>
      <c r="X8" s="16">
        <f t="shared" si="1"/>
        <v>66</v>
      </c>
      <c r="Y8" s="16">
        <f t="shared" si="2"/>
        <v>3</v>
      </c>
      <c r="Z8" s="2"/>
      <c r="AA8" s="2"/>
      <c r="AB8" s="2">
        <v>850</v>
      </c>
      <c r="AC8" s="2">
        <f>(10.7+13.3)/2</f>
        <v>12</v>
      </c>
      <c r="AD8" s="2">
        <v>10.7</v>
      </c>
      <c r="AE8" s="9"/>
      <c r="AF8" s="9" t="s">
        <v>39</v>
      </c>
      <c r="AG8" s="9"/>
      <c r="AH8" s="9"/>
      <c r="AI8" s="6"/>
      <c r="AJ8" s="6"/>
      <c r="AK8" s="6"/>
      <c r="AL8" s="6" t="s">
        <v>25</v>
      </c>
      <c r="AM8" s="6"/>
      <c r="AN8" s="6" t="s">
        <v>538</v>
      </c>
      <c r="AO8" s="12">
        <v>2015</v>
      </c>
      <c r="AP8" s="12" t="s">
        <v>358</v>
      </c>
      <c r="AQ8" s="12" t="s">
        <v>40</v>
      </c>
      <c r="AR8" s="12" t="s">
        <v>41</v>
      </c>
      <c r="AS8" s="34" t="s">
        <v>359</v>
      </c>
      <c r="AT8" s="86">
        <v>7</v>
      </c>
      <c r="AU8" t="s">
        <v>42</v>
      </c>
    </row>
    <row r="9" spans="1:47" s="18" customFormat="1" x14ac:dyDescent="0.45">
      <c r="A9" s="12" t="s">
        <v>21</v>
      </c>
      <c r="B9" s="12" t="s">
        <v>22</v>
      </c>
      <c r="C9" s="12" t="s">
        <v>21</v>
      </c>
      <c r="D9" s="12" t="s">
        <v>23</v>
      </c>
      <c r="E9" s="12">
        <f t="shared" si="3"/>
        <v>850</v>
      </c>
      <c r="F9" s="23">
        <v>2.5000000000000001E-2</v>
      </c>
      <c r="G9" s="23">
        <v>5</v>
      </c>
      <c r="H9" s="23"/>
      <c r="I9" s="23"/>
      <c r="J9" s="23"/>
      <c r="K9" s="23"/>
      <c r="L9" s="25"/>
      <c r="M9" s="25">
        <v>2</v>
      </c>
      <c r="N9" s="25">
        <v>1</v>
      </c>
      <c r="O9" s="25">
        <f>G9*M9*N9</f>
        <v>10</v>
      </c>
      <c r="P9" s="25">
        <v>10</v>
      </c>
      <c r="Q9" s="16">
        <v>780</v>
      </c>
      <c r="R9" s="16">
        <v>870</v>
      </c>
      <c r="S9" s="16">
        <v>830</v>
      </c>
      <c r="T9" s="16">
        <v>14.8</v>
      </c>
      <c r="U9" s="16">
        <v>10</v>
      </c>
      <c r="V9" s="55">
        <v>13.6</v>
      </c>
      <c r="W9" s="68">
        <f t="shared" si="0"/>
        <v>1.3599999999999999</v>
      </c>
      <c r="X9" s="16">
        <f t="shared" si="1"/>
        <v>90</v>
      </c>
      <c r="Y9" s="16">
        <f t="shared" si="2"/>
        <v>4.8000000000000007</v>
      </c>
      <c r="Z9" s="2">
        <v>840</v>
      </c>
      <c r="AA9" s="2">
        <v>860</v>
      </c>
      <c r="AB9" s="2">
        <f>SUM(Z9:AA9)/2</f>
        <v>850</v>
      </c>
      <c r="AC9" s="2">
        <f>(13.3+11.1)/2</f>
        <v>12.2</v>
      </c>
      <c r="AD9" s="2">
        <v>11.1</v>
      </c>
      <c r="AE9" s="9">
        <v>-0.3</v>
      </c>
      <c r="AF9" s="9">
        <v>0.93</v>
      </c>
      <c r="AG9" s="9"/>
      <c r="AH9" s="9"/>
      <c r="AI9" s="6"/>
      <c r="AJ9" s="6"/>
      <c r="AK9" s="6"/>
      <c r="AL9" s="6" t="s">
        <v>25</v>
      </c>
      <c r="AM9" s="6"/>
      <c r="AN9" s="6"/>
      <c r="AO9" s="12">
        <v>2015</v>
      </c>
      <c r="AP9" s="12" t="s">
        <v>360</v>
      </c>
      <c r="AQ9" s="12" t="s">
        <v>43</v>
      </c>
      <c r="AR9" s="12" t="s">
        <v>27</v>
      </c>
      <c r="AS9" s="34" t="s">
        <v>361</v>
      </c>
      <c r="AT9" s="86">
        <v>8</v>
      </c>
      <c r="AU9" t="s">
        <v>44</v>
      </c>
    </row>
    <row r="10" spans="1:47" s="18" customFormat="1" x14ac:dyDescent="0.45">
      <c r="A10" s="12" t="s">
        <v>21</v>
      </c>
      <c r="B10" s="12" t="s">
        <v>22</v>
      </c>
      <c r="C10" s="12" t="s">
        <v>21</v>
      </c>
      <c r="D10" s="12" t="s">
        <v>111</v>
      </c>
      <c r="E10" s="12">
        <f t="shared" si="3"/>
        <v>225</v>
      </c>
      <c r="F10" s="23"/>
      <c r="G10" s="23">
        <v>30</v>
      </c>
      <c r="H10" s="23"/>
      <c r="I10" s="23"/>
      <c r="J10" s="23"/>
      <c r="K10" s="23"/>
      <c r="L10" s="25">
        <v>1</v>
      </c>
      <c r="M10" s="25">
        <v>2</v>
      </c>
      <c r="N10" s="25">
        <v>1</v>
      </c>
      <c r="O10" s="25">
        <f>G10*M10*N10</f>
        <v>60</v>
      </c>
      <c r="P10" s="25">
        <v>2</v>
      </c>
      <c r="Q10" s="16">
        <v>180</v>
      </c>
      <c r="R10" s="16">
        <v>270</v>
      </c>
      <c r="S10" s="16"/>
      <c r="T10" s="16">
        <v>12.5</v>
      </c>
      <c r="U10" s="16">
        <v>10</v>
      </c>
      <c r="V10" s="55">
        <f>(T10+U10)/2</f>
        <v>11.25</v>
      </c>
      <c r="W10" s="68">
        <f t="shared" si="0"/>
        <v>5.625</v>
      </c>
      <c r="X10" s="16">
        <f t="shared" si="1"/>
        <v>90</v>
      </c>
      <c r="Y10" s="16">
        <f t="shared" si="2"/>
        <v>2.5</v>
      </c>
      <c r="Z10" s="2">
        <v>170</v>
      </c>
      <c r="AA10" s="2">
        <v>280</v>
      </c>
      <c r="AB10" s="2">
        <f>(Z10+AA10)/2</f>
        <v>225</v>
      </c>
      <c r="AC10" s="2">
        <f>(7+5.3)/2</f>
        <v>6.15</v>
      </c>
      <c r="AD10" s="2">
        <v>5.3</v>
      </c>
      <c r="AE10" s="9"/>
      <c r="AF10" s="9"/>
      <c r="AG10" s="9"/>
      <c r="AH10" s="9"/>
      <c r="AI10" s="59">
        <f>1.15*0.45</f>
        <v>0.51749999999999996</v>
      </c>
      <c r="AJ10" s="59"/>
      <c r="AK10" s="6"/>
      <c r="AL10" s="6" t="s">
        <v>25</v>
      </c>
      <c r="AM10" s="6"/>
      <c r="AN10" s="6" t="s">
        <v>539</v>
      </c>
      <c r="AO10" s="12">
        <v>2014</v>
      </c>
      <c r="AP10" s="12" t="s">
        <v>362</v>
      </c>
      <c r="AQ10" s="12" t="s">
        <v>45</v>
      </c>
      <c r="AR10" s="12" t="s">
        <v>46</v>
      </c>
      <c r="AS10" s="34" t="s">
        <v>363</v>
      </c>
      <c r="AT10" s="86">
        <v>9</v>
      </c>
      <c r="AU10" t="s">
        <v>47</v>
      </c>
    </row>
    <row r="11" spans="1:47" s="18" customFormat="1" x14ac:dyDescent="0.45">
      <c r="A11" s="12" t="s">
        <v>21</v>
      </c>
      <c r="B11" s="12" t="s">
        <v>22</v>
      </c>
      <c r="C11" s="12" t="s">
        <v>21</v>
      </c>
      <c r="D11" s="12" t="s">
        <v>23</v>
      </c>
      <c r="E11" s="12">
        <f t="shared" si="3"/>
        <v>850</v>
      </c>
      <c r="F11" s="23">
        <v>2.5000000000000001E-2</v>
      </c>
      <c r="G11" s="23"/>
      <c r="H11" s="23"/>
      <c r="I11" s="23"/>
      <c r="J11" s="23"/>
      <c r="K11" s="23">
        <v>1400</v>
      </c>
      <c r="L11" s="25"/>
      <c r="M11" s="25"/>
      <c r="N11" s="25"/>
      <c r="O11" s="25"/>
      <c r="P11" s="25">
        <v>9</v>
      </c>
      <c r="Q11" s="16">
        <v>817</v>
      </c>
      <c r="R11" s="16">
        <v>877</v>
      </c>
      <c r="S11" s="16">
        <v>850</v>
      </c>
      <c r="T11" s="16">
        <v>6</v>
      </c>
      <c r="U11" s="16">
        <v>4</v>
      </c>
      <c r="V11" s="55">
        <f>(T11+U11)/2</f>
        <v>5</v>
      </c>
      <c r="W11" s="68">
        <f t="shared" si="0"/>
        <v>0.55555555555555558</v>
      </c>
      <c r="X11" s="16">
        <f t="shared" si="1"/>
        <v>60</v>
      </c>
      <c r="Y11" s="16">
        <f t="shared" si="2"/>
        <v>2</v>
      </c>
      <c r="Z11" s="2"/>
      <c r="AA11" s="2"/>
      <c r="AB11" s="2">
        <v>850</v>
      </c>
      <c r="AC11" s="2"/>
      <c r="AD11" s="2"/>
      <c r="AE11" s="9"/>
      <c r="AF11" s="9"/>
      <c r="AG11" s="9"/>
      <c r="AH11" s="9"/>
      <c r="AI11" s="6"/>
      <c r="AJ11" s="6"/>
      <c r="AK11" s="6"/>
      <c r="AL11" s="6" t="s">
        <v>35</v>
      </c>
      <c r="AM11" s="6"/>
      <c r="AN11" s="6"/>
      <c r="AO11" s="12">
        <v>2014</v>
      </c>
      <c r="AP11" s="12" t="s">
        <v>364</v>
      </c>
      <c r="AQ11" s="12" t="s">
        <v>48</v>
      </c>
      <c r="AR11" s="12" t="s">
        <v>49</v>
      </c>
      <c r="AS11" s="34" t="s">
        <v>365</v>
      </c>
      <c r="AT11" s="86">
        <v>10</v>
      </c>
      <c r="AU11" t="s">
        <v>50</v>
      </c>
    </row>
    <row r="12" spans="1:47" s="18" customFormat="1" x14ac:dyDescent="0.45">
      <c r="A12" s="12" t="s">
        <v>21</v>
      </c>
      <c r="B12" s="12" t="s">
        <v>22</v>
      </c>
      <c r="C12" s="12" t="s">
        <v>21</v>
      </c>
      <c r="D12" s="12" t="s">
        <v>589</v>
      </c>
      <c r="E12" s="12">
        <f t="shared" si="3"/>
        <v>425</v>
      </c>
      <c r="F12" s="23">
        <v>2.5000000000000001E-2</v>
      </c>
      <c r="G12" s="23"/>
      <c r="H12" s="23"/>
      <c r="I12" s="23"/>
      <c r="J12" s="23"/>
      <c r="K12" s="23">
        <v>1400</v>
      </c>
      <c r="L12" s="25"/>
      <c r="M12" s="25"/>
      <c r="N12" s="25"/>
      <c r="O12" s="25"/>
      <c r="P12" s="25">
        <v>4</v>
      </c>
      <c r="Q12" s="16">
        <v>343</v>
      </c>
      <c r="R12" s="16">
        <v>493</v>
      </c>
      <c r="S12" s="16"/>
      <c r="T12" s="16">
        <v>24</v>
      </c>
      <c r="U12" s="16">
        <v>20</v>
      </c>
      <c r="V12" s="55">
        <f>(T12+U12)/2</f>
        <v>22</v>
      </c>
      <c r="W12" s="68">
        <f t="shared" si="0"/>
        <v>5.5</v>
      </c>
      <c r="X12" s="16">
        <f t="shared" si="1"/>
        <v>150</v>
      </c>
      <c r="Y12" s="16">
        <f t="shared" si="2"/>
        <v>4</v>
      </c>
      <c r="Z12" s="2">
        <v>380</v>
      </c>
      <c r="AA12" s="2">
        <v>430</v>
      </c>
      <c r="AB12" s="2">
        <v>425</v>
      </c>
      <c r="AC12" s="2">
        <v>7.5</v>
      </c>
      <c r="AD12" s="2"/>
      <c r="AE12" s="9"/>
      <c r="AF12" s="9"/>
      <c r="AG12" s="9"/>
      <c r="AH12" s="9"/>
      <c r="AI12" s="6"/>
      <c r="AJ12" s="6"/>
      <c r="AK12" s="6"/>
      <c r="AL12" s="6" t="s">
        <v>25</v>
      </c>
      <c r="AM12" s="6"/>
      <c r="AN12" s="6"/>
      <c r="AO12" s="12">
        <v>2014</v>
      </c>
      <c r="AP12" s="12" t="s">
        <v>364</v>
      </c>
      <c r="AQ12" s="12" t="s">
        <v>48</v>
      </c>
      <c r="AR12" s="12" t="s">
        <v>49</v>
      </c>
      <c r="AS12" s="34" t="s">
        <v>365</v>
      </c>
      <c r="AT12" s="86">
        <v>10</v>
      </c>
      <c r="AU12" t="s">
        <v>50</v>
      </c>
    </row>
    <row r="13" spans="1:47" s="18" customFormat="1" x14ac:dyDescent="0.45">
      <c r="A13" s="12" t="s">
        <v>21</v>
      </c>
      <c r="B13" s="12" t="s">
        <v>22</v>
      </c>
      <c r="C13" s="12" t="s">
        <v>21</v>
      </c>
      <c r="D13" s="12" t="s">
        <v>588</v>
      </c>
      <c r="E13" s="12">
        <f t="shared" si="3"/>
        <v>670</v>
      </c>
      <c r="F13" s="23">
        <v>0.03</v>
      </c>
      <c r="G13" s="23"/>
      <c r="H13" s="23"/>
      <c r="I13" s="23"/>
      <c r="J13" s="23">
        <v>600</v>
      </c>
      <c r="K13" s="23">
        <v>1200</v>
      </c>
      <c r="L13" s="25"/>
      <c r="M13" s="25"/>
      <c r="N13" s="25">
        <v>1</v>
      </c>
      <c r="O13" s="25">
        <f>14</f>
        <v>14</v>
      </c>
      <c r="P13" s="25">
        <v>5</v>
      </c>
      <c r="Q13" s="16">
        <v>668</v>
      </c>
      <c r="R13" s="16">
        <v>674</v>
      </c>
      <c r="S13" s="16">
        <v>674</v>
      </c>
      <c r="T13" s="16">
        <v>7.5</v>
      </c>
      <c r="U13" s="16">
        <v>6.5</v>
      </c>
      <c r="V13" s="55">
        <f>(T13+U13)/2</f>
        <v>7</v>
      </c>
      <c r="W13" s="68">
        <f t="shared" si="0"/>
        <v>1.4</v>
      </c>
      <c r="X13" s="16">
        <f t="shared" si="1"/>
        <v>6</v>
      </c>
      <c r="Y13" s="16">
        <f t="shared" si="2"/>
        <v>1</v>
      </c>
      <c r="Z13" s="2"/>
      <c r="AA13" s="2"/>
      <c r="AB13" s="2">
        <v>670</v>
      </c>
      <c r="AC13" s="2">
        <v>13</v>
      </c>
      <c r="AD13" s="2"/>
      <c r="AE13" s="9"/>
      <c r="AF13" s="9"/>
      <c r="AG13" s="9"/>
      <c r="AH13" s="9"/>
      <c r="AI13" s="59">
        <f>0.655*0.375</f>
        <v>0.24562500000000001</v>
      </c>
      <c r="AJ13" s="59"/>
      <c r="AK13" s="6"/>
      <c r="AL13" s="6" t="s">
        <v>25</v>
      </c>
      <c r="AM13" s="6"/>
      <c r="AN13" s="6"/>
      <c r="AO13" s="12">
        <v>2011</v>
      </c>
      <c r="AP13" s="12" t="s">
        <v>366</v>
      </c>
      <c r="AQ13" s="12" t="s">
        <v>51</v>
      </c>
      <c r="AR13" s="12" t="s">
        <v>30</v>
      </c>
      <c r="AS13" s="34" t="s">
        <v>367</v>
      </c>
      <c r="AT13" s="86">
        <v>11</v>
      </c>
      <c r="AU13" t="s">
        <v>52</v>
      </c>
    </row>
    <row r="14" spans="1:47" s="18" customFormat="1" x14ac:dyDescent="0.45">
      <c r="A14" s="12" t="s">
        <v>21</v>
      </c>
      <c r="B14" s="12" t="s">
        <v>22</v>
      </c>
      <c r="C14" s="12" t="s">
        <v>21</v>
      </c>
      <c r="D14" s="12" t="s">
        <v>61</v>
      </c>
      <c r="E14" s="12">
        <f t="shared" si="3"/>
        <v>94</v>
      </c>
      <c r="F14" s="23">
        <v>0.1</v>
      </c>
      <c r="G14" s="23">
        <v>30</v>
      </c>
      <c r="H14" s="23"/>
      <c r="I14" s="23"/>
      <c r="J14" s="23"/>
      <c r="K14" s="23"/>
      <c r="L14" s="25"/>
      <c r="M14" s="25">
        <v>2</v>
      </c>
      <c r="N14" s="25">
        <v>1</v>
      </c>
      <c r="O14" s="25">
        <f>G14*M14*N14</f>
        <v>60</v>
      </c>
      <c r="P14" s="25">
        <v>3</v>
      </c>
      <c r="Q14" s="16">
        <v>67</v>
      </c>
      <c r="R14" s="16">
        <v>102</v>
      </c>
      <c r="S14" s="16"/>
      <c r="T14" s="16">
        <v>20.3</v>
      </c>
      <c r="U14" s="16">
        <v>17.2</v>
      </c>
      <c r="V14" s="55">
        <v>19.399999999999999</v>
      </c>
      <c r="W14" s="68">
        <f t="shared" si="0"/>
        <v>6.4666666666666659</v>
      </c>
      <c r="X14" s="16">
        <f t="shared" si="1"/>
        <v>35</v>
      </c>
      <c r="Y14" s="16">
        <f t="shared" si="2"/>
        <v>3.1000000000000014</v>
      </c>
      <c r="Z14" s="2">
        <v>86</v>
      </c>
      <c r="AA14" s="2">
        <v>98</v>
      </c>
      <c r="AB14" s="2">
        <v>94</v>
      </c>
      <c r="AC14" s="2">
        <v>2.5</v>
      </c>
      <c r="AD14" s="2"/>
      <c r="AE14" s="9"/>
      <c r="AF14" s="9"/>
      <c r="AG14" s="9">
        <v>3.5999999999999999E-3</v>
      </c>
      <c r="AH14" s="9"/>
      <c r="AI14" s="6"/>
      <c r="AJ14" s="6"/>
      <c r="AK14" s="6"/>
      <c r="AL14" s="6" t="s">
        <v>35</v>
      </c>
      <c r="AM14" s="6"/>
      <c r="AN14" s="6"/>
      <c r="AO14" s="12">
        <v>2008</v>
      </c>
      <c r="AP14" s="12" t="s">
        <v>372</v>
      </c>
      <c r="AQ14" s="12" t="s">
        <v>371</v>
      </c>
      <c r="AR14" s="71" t="s">
        <v>370</v>
      </c>
      <c r="AS14" s="34" t="s">
        <v>373</v>
      </c>
      <c r="AT14" s="86">
        <v>12</v>
      </c>
      <c r="AU14" t="s">
        <v>64</v>
      </c>
    </row>
    <row r="15" spans="1:47" s="39" customFormat="1" x14ac:dyDescent="0.45">
      <c r="A15" s="36"/>
      <c r="B15" s="36"/>
      <c r="C15" s="36"/>
      <c r="D15" s="36"/>
      <c r="E15" s="36"/>
      <c r="F15" s="36"/>
      <c r="G15" s="36"/>
      <c r="H15" s="36"/>
      <c r="I15" s="36"/>
      <c r="J15" s="36"/>
      <c r="K15" s="36"/>
      <c r="L15" s="36"/>
      <c r="M15" s="36"/>
      <c r="N15" s="36"/>
      <c r="O15" s="36"/>
      <c r="P15" s="36"/>
      <c r="Q15" s="36"/>
      <c r="R15" s="36"/>
      <c r="S15" s="36"/>
      <c r="T15" s="36"/>
      <c r="U15" s="36"/>
      <c r="V15" s="40"/>
      <c r="W15" s="41"/>
      <c r="X15" s="36"/>
      <c r="Y15" s="36"/>
      <c r="Z15" s="36"/>
      <c r="AA15" s="36"/>
      <c r="AB15" s="36"/>
      <c r="AC15" s="36"/>
      <c r="AD15" s="36"/>
      <c r="AE15" s="36"/>
      <c r="AF15" s="36"/>
      <c r="AG15" s="36"/>
      <c r="AH15" s="36"/>
      <c r="AI15" s="36"/>
      <c r="AJ15" s="36"/>
      <c r="AK15" s="36"/>
      <c r="AL15" s="36"/>
      <c r="AM15" s="36"/>
      <c r="AN15" s="36"/>
      <c r="AO15" s="36"/>
      <c r="AP15" s="36"/>
      <c r="AQ15" s="36"/>
      <c r="AR15" s="42"/>
      <c r="AS15" s="43"/>
      <c r="AT15" s="87"/>
      <c r="AU15" s="84"/>
    </row>
    <row r="16" spans="1:47" s="18" customFormat="1" x14ac:dyDescent="0.45">
      <c r="A16" s="12" t="s">
        <v>65</v>
      </c>
      <c r="B16" s="12" t="s">
        <v>66</v>
      </c>
      <c r="C16" s="12" t="s">
        <v>65</v>
      </c>
      <c r="D16" s="12" t="s">
        <v>111</v>
      </c>
      <c r="E16" s="12">
        <f>AB16</f>
        <v>300</v>
      </c>
      <c r="F16" s="23">
        <v>7.4999999999999997E-2</v>
      </c>
      <c r="G16" s="23"/>
      <c r="H16" s="23"/>
      <c r="I16" s="23">
        <v>2100</v>
      </c>
      <c r="J16" s="23">
        <v>320</v>
      </c>
      <c r="K16" s="23"/>
      <c r="L16" s="25">
        <v>1.6</v>
      </c>
      <c r="M16" s="25"/>
      <c r="N16" s="25"/>
      <c r="O16" s="25"/>
      <c r="P16" s="25">
        <v>6</v>
      </c>
      <c r="Q16" s="16">
        <v>274</v>
      </c>
      <c r="R16" s="16">
        <v>314</v>
      </c>
      <c r="S16" s="16"/>
      <c r="T16" s="16">
        <v>33</v>
      </c>
      <c r="U16" s="16">
        <v>27</v>
      </c>
      <c r="V16" s="55">
        <f>(T16+U16)/2</f>
        <v>30</v>
      </c>
      <c r="W16" s="68">
        <f>V16/P16</f>
        <v>5</v>
      </c>
      <c r="X16" s="16">
        <f>R16-Q16</f>
        <v>40</v>
      </c>
      <c r="Y16" s="16">
        <f>T16-U16</f>
        <v>6</v>
      </c>
      <c r="Z16" s="2"/>
      <c r="AA16" s="2"/>
      <c r="AB16" s="2">
        <v>300</v>
      </c>
      <c r="AC16" s="2">
        <v>9.8000000000000007</v>
      </c>
      <c r="AD16" s="2"/>
      <c r="AE16" s="9"/>
      <c r="AF16" s="9"/>
      <c r="AG16" s="9">
        <v>6.7000000000000004E-2</v>
      </c>
      <c r="AH16" s="9"/>
      <c r="AI16" s="6">
        <f>1.6*0.8</f>
        <v>1.2800000000000002</v>
      </c>
      <c r="AJ16" s="6"/>
      <c r="AK16" s="6"/>
      <c r="AL16" s="6" t="s">
        <v>35</v>
      </c>
      <c r="AM16" s="6"/>
      <c r="AN16" s="6" t="s">
        <v>540</v>
      </c>
      <c r="AO16" s="12">
        <v>2015</v>
      </c>
      <c r="AP16" s="12" t="s">
        <v>385</v>
      </c>
      <c r="AQ16" s="12" t="s">
        <v>384</v>
      </c>
      <c r="AR16" s="12" t="s">
        <v>386</v>
      </c>
      <c r="AS16" s="34" t="s">
        <v>387</v>
      </c>
      <c r="AT16" s="86">
        <v>13</v>
      </c>
      <c r="AU16" t="s">
        <v>71</v>
      </c>
    </row>
    <row r="17" spans="1:47" s="18" customFormat="1" x14ac:dyDescent="0.45">
      <c r="A17" s="12" t="s">
        <v>65</v>
      </c>
      <c r="B17" s="12" t="s">
        <v>66</v>
      </c>
      <c r="C17" s="12" t="s">
        <v>65</v>
      </c>
      <c r="D17" s="12" t="s">
        <v>61</v>
      </c>
      <c r="E17" s="12">
        <f>AB17</f>
        <v>89</v>
      </c>
      <c r="F17" s="23">
        <v>0.08</v>
      </c>
      <c r="G17" s="23">
        <v>10</v>
      </c>
      <c r="H17" s="23"/>
      <c r="I17" s="23"/>
      <c r="J17" s="23"/>
      <c r="K17" s="23"/>
      <c r="L17" s="25">
        <v>3</v>
      </c>
      <c r="M17" s="25">
        <v>2</v>
      </c>
      <c r="N17" s="25">
        <v>1</v>
      </c>
      <c r="O17" s="25">
        <f>G17*M17*N17</f>
        <v>20</v>
      </c>
      <c r="P17" s="25">
        <v>3</v>
      </c>
      <c r="Q17" s="16">
        <v>68</v>
      </c>
      <c r="R17" s="16">
        <v>110</v>
      </c>
      <c r="S17" s="16"/>
      <c r="T17" s="16">
        <v>18</v>
      </c>
      <c r="U17" s="16">
        <v>15</v>
      </c>
      <c r="V17" s="55">
        <f>(T17+U17)/2</f>
        <v>16.5</v>
      </c>
      <c r="W17" s="68">
        <f>V17/P17</f>
        <v>5.5</v>
      </c>
      <c r="X17" s="16">
        <f>R17-Q17</f>
        <v>42</v>
      </c>
      <c r="Y17" s="16">
        <f>T17-U17</f>
        <v>3</v>
      </c>
      <c r="Z17" s="2">
        <v>68</v>
      </c>
      <c r="AA17" s="2">
        <v>110</v>
      </c>
      <c r="AB17" s="2">
        <f>(Z17+AA17)/2</f>
        <v>89</v>
      </c>
      <c r="AC17" s="2">
        <v>3.5</v>
      </c>
      <c r="AD17" s="2"/>
      <c r="AE17" s="9"/>
      <c r="AF17" s="9"/>
      <c r="AG17" s="9">
        <v>1.2E-2</v>
      </c>
      <c r="AH17" s="9"/>
      <c r="AI17" s="59">
        <f>0.55*0.75</f>
        <v>0.41250000000000003</v>
      </c>
      <c r="AJ17" s="59"/>
      <c r="AK17" s="6"/>
      <c r="AL17" s="6" t="s">
        <v>35</v>
      </c>
      <c r="AM17" s="6" t="s">
        <v>542</v>
      </c>
      <c r="AN17" s="6" t="s">
        <v>541</v>
      </c>
      <c r="AO17" s="12">
        <v>2010</v>
      </c>
      <c r="AP17" s="12" t="s">
        <v>382</v>
      </c>
      <c r="AQ17" s="12" t="s">
        <v>381</v>
      </c>
      <c r="AR17" s="12" t="s">
        <v>375</v>
      </c>
      <c r="AS17" s="34" t="s">
        <v>383</v>
      </c>
      <c r="AT17" s="86">
        <v>14</v>
      </c>
      <c r="AU17" t="s">
        <v>70</v>
      </c>
    </row>
    <row r="18" spans="1:47" s="18" customFormat="1" x14ac:dyDescent="0.45">
      <c r="A18" s="12" t="s">
        <v>65</v>
      </c>
      <c r="B18" s="12" t="s">
        <v>66</v>
      </c>
      <c r="C18" s="12" t="s">
        <v>65</v>
      </c>
      <c r="D18" s="12" t="s">
        <v>61</v>
      </c>
      <c r="E18" s="12">
        <f>AB18</f>
        <v>85.5</v>
      </c>
      <c r="F18" s="23">
        <v>0.13</v>
      </c>
      <c r="G18" s="23">
        <v>5</v>
      </c>
      <c r="H18" s="23"/>
      <c r="I18" s="23"/>
      <c r="J18" s="23"/>
      <c r="K18" s="23"/>
      <c r="L18" s="25"/>
      <c r="M18" s="25">
        <v>2</v>
      </c>
      <c r="N18" s="25">
        <v>1</v>
      </c>
      <c r="O18" s="25">
        <f>G18*M18*N18</f>
        <v>10</v>
      </c>
      <c r="P18" s="25"/>
      <c r="Q18" s="16">
        <v>78</v>
      </c>
      <c r="R18" s="16">
        <v>104</v>
      </c>
      <c r="S18" s="16">
        <v>90</v>
      </c>
      <c r="T18" s="16">
        <v>30</v>
      </c>
      <c r="U18" s="16">
        <v>27</v>
      </c>
      <c r="V18" s="55">
        <f>(T18+U18)/2</f>
        <v>28.5</v>
      </c>
      <c r="W18" s="68"/>
      <c r="X18" s="16">
        <f>R18-Q18</f>
        <v>26</v>
      </c>
      <c r="Y18" s="16">
        <f>T18-U18</f>
        <v>3</v>
      </c>
      <c r="Z18" s="2">
        <v>78</v>
      </c>
      <c r="AA18" s="2">
        <v>93</v>
      </c>
      <c r="AB18" s="2">
        <f>(Z18+AA18)/2</f>
        <v>85.5</v>
      </c>
      <c r="AC18" s="2">
        <v>4</v>
      </c>
      <c r="AD18" s="2"/>
      <c r="AE18" s="9"/>
      <c r="AF18" s="9"/>
      <c r="AG18" s="9"/>
      <c r="AH18" s="9"/>
      <c r="AI18" s="6">
        <f>2.6*1.4</f>
        <v>3.6399999999999997</v>
      </c>
      <c r="AJ18" s="6"/>
      <c r="AK18" s="6"/>
      <c r="AL18" s="6" t="s">
        <v>35</v>
      </c>
      <c r="AM18" s="6"/>
      <c r="AN18" s="6" t="s">
        <v>543</v>
      </c>
      <c r="AO18" s="12">
        <v>2009</v>
      </c>
      <c r="AP18" s="12" t="s">
        <v>378</v>
      </c>
      <c r="AQ18" s="12" t="s">
        <v>68</v>
      </c>
      <c r="AR18" s="12" t="s">
        <v>379</v>
      </c>
      <c r="AS18" s="34" t="s">
        <v>380</v>
      </c>
      <c r="AT18" s="86">
        <v>15</v>
      </c>
      <c r="AU18" t="s">
        <v>69</v>
      </c>
    </row>
    <row r="19" spans="1:47" s="18" customFormat="1" x14ac:dyDescent="0.45">
      <c r="A19" s="12" t="s">
        <v>65</v>
      </c>
      <c r="B19" s="12" t="s">
        <v>66</v>
      </c>
      <c r="C19" s="12" t="s">
        <v>65</v>
      </c>
      <c r="D19" s="12" t="s">
        <v>61</v>
      </c>
      <c r="E19" s="12">
        <f>AB19</f>
        <v>94</v>
      </c>
      <c r="F19" s="23">
        <v>0.13</v>
      </c>
      <c r="G19" s="23">
        <v>20</v>
      </c>
      <c r="H19" s="23"/>
      <c r="I19" s="23"/>
      <c r="J19" s="23"/>
      <c r="K19" s="23"/>
      <c r="L19" s="25"/>
      <c r="M19" s="25">
        <v>2</v>
      </c>
      <c r="N19" s="25">
        <v>1</v>
      </c>
      <c r="O19" s="25">
        <f>G19*M19*N19</f>
        <v>40</v>
      </c>
      <c r="P19" s="25">
        <v>7</v>
      </c>
      <c r="Q19" s="16">
        <v>90</v>
      </c>
      <c r="R19" s="16">
        <v>110</v>
      </c>
      <c r="S19" s="16"/>
      <c r="T19" s="16">
        <v>35.5</v>
      </c>
      <c r="U19" s="16">
        <v>34.5</v>
      </c>
      <c r="V19" s="55">
        <f>(T19+U19)/2</f>
        <v>35</v>
      </c>
      <c r="W19" s="68">
        <f>V19/P19</f>
        <v>5</v>
      </c>
      <c r="X19" s="16">
        <f>R19-Q19</f>
        <v>20</v>
      </c>
      <c r="Y19" s="16">
        <f>T19-U19</f>
        <v>1</v>
      </c>
      <c r="Z19" s="2">
        <v>80</v>
      </c>
      <c r="AA19" s="2">
        <v>100</v>
      </c>
      <c r="AB19" s="2">
        <v>94</v>
      </c>
      <c r="AC19" s="2">
        <v>4.5</v>
      </c>
      <c r="AD19" s="2"/>
      <c r="AE19" s="9"/>
      <c r="AF19" s="9"/>
      <c r="AG19" s="9">
        <v>0.06</v>
      </c>
      <c r="AH19" s="9"/>
      <c r="AI19" s="6">
        <f>2.5*1.2</f>
        <v>3</v>
      </c>
      <c r="AJ19" s="6"/>
      <c r="AK19" s="6"/>
      <c r="AL19" s="6" t="s">
        <v>35</v>
      </c>
      <c r="AM19" s="6"/>
      <c r="AN19" s="53" t="s">
        <v>544</v>
      </c>
      <c r="AO19" s="12">
        <v>2008</v>
      </c>
      <c r="AP19" s="12" t="s">
        <v>376</v>
      </c>
      <c r="AQ19" s="12" t="s">
        <v>374</v>
      </c>
      <c r="AR19" s="12" t="s">
        <v>375</v>
      </c>
      <c r="AS19" s="34" t="s">
        <v>377</v>
      </c>
      <c r="AT19" s="86">
        <v>16</v>
      </c>
      <c r="AU19" t="s">
        <v>67</v>
      </c>
    </row>
    <row r="20" spans="1:47" s="39" customFormat="1" x14ac:dyDescent="0.45">
      <c r="A20" s="36"/>
      <c r="B20" s="36"/>
      <c r="C20" s="36"/>
      <c r="D20" s="36"/>
      <c r="E20" s="36"/>
      <c r="F20" s="36"/>
      <c r="G20" s="36"/>
      <c r="H20" s="36"/>
      <c r="I20" s="36"/>
      <c r="J20" s="36"/>
      <c r="K20" s="36"/>
      <c r="L20" s="36"/>
      <c r="M20" s="36"/>
      <c r="N20" s="36"/>
      <c r="O20" s="36"/>
      <c r="P20" s="36"/>
      <c r="Q20" s="36"/>
      <c r="R20" s="36"/>
      <c r="S20" s="36"/>
      <c r="T20" s="36"/>
      <c r="U20" s="36"/>
      <c r="V20" s="40"/>
      <c r="W20" s="41"/>
      <c r="X20" s="36"/>
      <c r="Y20" s="36"/>
      <c r="Z20" s="36"/>
      <c r="AA20" s="36"/>
      <c r="AB20" s="36"/>
      <c r="AC20" s="36"/>
      <c r="AD20" s="36"/>
      <c r="AE20" s="36"/>
      <c r="AF20" s="36"/>
      <c r="AG20" s="36"/>
      <c r="AH20" s="36"/>
      <c r="AI20" s="36"/>
      <c r="AJ20" s="36"/>
      <c r="AK20" s="36"/>
      <c r="AL20" s="36"/>
      <c r="AM20" s="36"/>
      <c r="AN20" s="36"/>
      <c r="AO20" s="36"/>
      <c r="AP20" s="36"/>
      <c r="AQ20" s="36"/>
      <c r="AR20" s="36"/>
      <c r="AS20" s="43"/>
      <c r="AT20" s="87"/>
      <c r="AU20" s="84"/>
    </row>
    <row r="21" spans="1:47" s="18" customFormat="1" x14ac:dyDescent="0.45">
      <c r="A21" s="12" t="s">
        <v>56</v>
      </c>
      <c r="B21" s="12" t="s">
        <v>22</v>
      </c>
      <c r="C21" s="12" t="s">
        <v>21</v>
      </c>
      <c r="D21" s="12" t="s">
        <v>57</v>
      </c>
      <c r="E21" s="12">
        <f>S21</f>
        <v>83</v>
      </c>
      <c r="F21" s="23">
        <v>3.5000000000000003E-2</v>
      </c>
      <c r="G21" s="23">
        <v>15</v>
      </c>
      <c r="H21" s="23"/>
      <c r="I21" s="23"/>
      <c r="J21" s="23">
        <v>480</v>
      </c>
      <c r="K21" s="23">
        <v>1200</v>
      </c>
      <c r="L21" s="25">
        <v>1</v>
      </c>
      <c r="M21" s="25">
        <v>2</v>
      </c>
      <c r="N21" s="25">
        <v>2</v>
      </c>
      <c r="O21" s="25">
        <f t="shared" ref="O21:O27" si="4">G21*M21*N21</f>
        <v>60</v>
      </c>
      <c r="P21" s="25">
        <v>3</v>
      </c>
      <c r="Q21" s="16">
        <v>56</v>
      </c>
      <c r="R21" s="16">
        <v>110</v>
      </c>
      <c r="S21" s="16">
        <f>(Q21+R21)/2</f>
        <v>83</v>
      </c>
      <c r="T21" s="16">
        <v>29</v>
      </c>
      <c r="U21" s="16">
        <v>20</v>
      </c>
      <c r="V21" s="55">
        <f t="shared" ref="V21:V23" si="5">(T21+U21)/2</f>
        <v>24.5</v>
      </c>
      <c r="W21" s="68">
        <f>V21/P21</f>
        <v>8.1666666666666661</v>
      </c>
      <c r="X21" s="16">
        <f t="shared" si="1"/>
        <v>54</v>
      </c>
      <c r="Y21" s="16">
        <f t="shared" si="2"/>
        <v>9</v>
      </c>
      <c r="Z21" s="2"/>
      <c r="AA21" s="2"/>
      <c r="AB21" s="2"/>
      <c r="AC21" s="2"/>
      <c r="AD21" s="2"/>
      <c r="AE21" s="9"/>
      <c r="AF21" s="9"/>
      <c r="AG21" s="9"/>
      <c r="AH21" s="9"/>
      <c r="AI21" s="6">
        <f>2*1.5</f>
        <v>3</v>
      </c>
      <c r="AJ21" s="6"/>
      <c r="AK21" s="6"/>
      <c r="AL21" s="6" t="s">
        <v>35</v>
      </c>
      <c r="AM21" s="6" t="s">
        <v>546</v>
      </c>
      <c r="AN21" s="6" t="s">
        <v>545</v>
      </c>
      <c r="AO21" s="12">
        <v>2016</v>
      </c>
      <c r="AP21" s="12" t="s">
        <v>393</v>
      </c>
      <c r="AQ21" s="12" t="s">
        <v>58</v>
      </c>
      <c r="AR21" s="51" t="s">
        <v>392</v>
      </c>
      <c r="AS21" s="34" t="s">
        <v>394</v>
      </c>
      <c r="AT21" s="86">
        <v>17</v>
      </c>
      <c r="AU21" t="s">
        <v>59</v>
      </c>
    </row>
    <row r="22" spans="1:47" s="18" customFormat="1" x14ac:dyDescent="0.45">
      <c r="A22" s="12" t="s">
        <v>56</v>
      </c>
      <c r="B22" s="12" t="s">
        <v>22</v>
      </c>
      <c r="C22" s="12" t="s">
        <v>21</v>
      </c>
      <c r="D22" s="12" t="s">
        <v>57</v>
      </c>
      <c r="E22" s="12">
        <f t="shared" ref="E22" si="6">AB22</f>
        <v>87.5</v>
      </c>
      <c r="F22" s="23">
        <v>3.5000000000000003E-2</v>
      </c>
      <c r="G22" s="23">
        <v>15</v>
      </c>
      <c r="H22" s="23"/>
      <c r="I22" s="23"/>
      <c r="J22" s="23">
        <v>480</v>
      </c>
      <c r="K22" s="23">
        <v>1200</v>
      </c>
      <c r="L22" s="25">
        <v>1</v>
      </c>
      <c r="M22" s="25">
        <v>2</v>
      </c>
      <c r="N22" s="25">
        <v>2</v>
      </c>
      <c r="O22" s="25">
        <f t="shared" si="4"/>
        <v>60</v>
      </c>
      <c r="P22" s="25">
        <v>3</v>
      </c>
      <c r="Q22" s="16">
        <v>75</v>
      </c>
      <c r="R22" s="16">
        <v>100</v>
      </c>
      <c r="S22" s="16">
        <f>(Q22+R22)/2</f>
        <v>87.5</v>
      </c>
      <c r="T22" s="16">
        <v>28</v>
      </c>
      <c r="U22" s="16">
        <v>20</v>
      </c>
      <c r="V22" s="55">
        <f t="shared" si="5"/>
        <v>24</v>
      </c>
      <c r="W22" s="68">
        <f>V22/P22</f>
        <v>8</v>
      </c>
      <c r="X22" s="16">
        <f t="shared" si="1"/>
        <v>25</v>
      </c>
      <c r="Y22" s="16">
        <f t="shared" si="2"/>
        <v>8</v>
      </c>
      <c r="Z22" s="2">
        <v>75</v>
      </c>
      <c r="AA22" s="2">
        <v>100</v>
      </c>
      <c r="AB22" s="2">
        <f>(Z22+AA22)/2</f>
        <v>87.5</v>
      </c>
      <c r="AC22" s="2">
        <v>2.7</v>
      </c>
      <c r="AD22" s="2"/>
      <c r="AE22" s="9">
        <v>9</v>
      </c>
      <c r="AF22" s="9"/>
      <c r="AG22" s="9"/>
      <c r="AH22" s="9"/>
      <c r="AI22" s="6">
        <f>2*1.5</f>
        <v>3</v>
      </c>
      <c r="AJ22" s="6"/>
      <c r="AK22" s="6"/>
      <c r="AL22" s="6" t="s">
        <v>203</v>
      </c>
      <c r="AM22" s="6" t="s">
        <v>546</v>
      </c>
      <c r="AN22" s="6" t="s">
        <v>545</v>
      </c>
      <c r="AO22" s="12">
        <v>2016</v>
      </c>
      <c r="AP22" s="12" t="s">
        <v>393</v>
      </c>
      <c r="AQ22" s="12" t="s">
        <v>58</v>
      </c>
      <c r="AR22" s="51" t="s">
        <v>392</v>
      </c>
      <c r="AS22" s="34" t="s">
        <v>394</v>
      </c>
      <c r="AT22" s="86">
        <v>17</v>
      </c>
      <c r="AU22" t="s">
        <v>59</v>
      </c>
    </row>
    <row r="23" spans="1:47" s="18" customFormat="1" x14ac:dyDescent="0.45">
      <c r="A23" s="12" t="s">
        <v>56</v>
      </c>
      <c r="B23" s="12" t="s">
        <v>22</v>
      </c>
      <c r="C23" s="12" t="s">
        <v>21</v>
      </c>
      <c r="D23" s="12" t="s">
        <v>57</v>
      </c>
      <c r="E23" s="12">
        <f>S23</f>
        <v>83.5</v>
      </c>
      <c r="F23" s="23">
        <v>3.5000000000000003E-2</v>
      </c>
      <c r="G23" s="23">
        <v>15</v>
      </c>
      <c r="H23" s="23"/>
      <c r="I23" s="23"/>
      <c r="J23" s="23">
        <v>480</v>
      </c>
      <c r="K23" s="23">
        <v>1200</v>
      </c>
      <c r="L23" s="25">
        <v>1</v>
      </c>
      <c r="M23" s="25">
        <v>2</v>
      </c>
      <c r="N23" s="25">
        <v>1</v>
      </c>
      <c r="O23" s="25">
        <f t="shared" si="4"/>
        <v>30</v>
      </c>
      <c r="P23" s="25">
        <v>3</v>
      </c>
      <c r="Q23" s="16">
        <v>81</v>
      </c>
      <c r="R23" s="16">
        <v>86</v>
      </c>
      <c r="S23" s="16">
        <f>(Q23+R23)/2</f>
        <v>83.5</v>
      </c>
      <c r="T23" s="16">
        <f>31.9+1.1</f>
        <v>33</v>
      </c>
      <c r="U23" s="16">
        <f>31.9-1.1</f>
        <v>30.799999999999997</v>
      </c>
      <c r="V23" s="55">
        <f t="shared" si="5"/>
        <v>31.9</v>
      </c>
      <c r="W23" s="68">
        <f>V23/P23</f>
        <v>10.633333333333333</v>
      </c>
      <c r="X23" s="16">
        <f t="shared" ref="X23" si="7">R23-Q23</f>
        <v>5</v>
      </c>
      <c r="Y23" s="16">
        <f t="shared" ref="Y23" si="8">T23-U23</f>
        <v>2.2000000000000028</v>
      </c>
      <c r="Z23" s="2"/>
      <c r="AA23" s="2"/>
      <c r="AB23" s="2"/>
      <c r="AC23" s="2"/>
      <c r="AD23" s="2"/>
      <c r="AE23" s="9"/>
      <c r="AF23" s="9"/>
      <c r="AG23" s="9"/>
      <c r="AH23" s="9"/>
      <c r="AI23" s="6">
        <f>2*1.5</f>
        <v>3</v>
      </c>
      <c r="AJ23" s="6"/>
      <c r="AK23" s="6"/>
      <c r="AL23" s="6" t="s">
        <v>35</v>
      </c>
      <c r="AM23" s="6" t="s">
        <v>547</v>
      </c>
      <c r="AN23" s="6" t="s">
        <v>545</v>
      </c>
      <c r="AO23" s="12">
        <v>2016</v>
      </c>
      <c r="AP23" s="12" t="s">
        <v>393</v>
      </c>
      <c r="AQ23" s="12" t="s">
        <v>58</v>
      </c>
      <c r="AR23" s="51" t="s">
        <v>392</v>
      </c>
      <c r="AS23" s="34" t="s">
        <v>394</v>
      </c>
      <c r="AT23" s="86">
        <v>17</v>
      </c>
      <c r="AU23" t="s">
        <v>59</v>
      </c>
    </row>
    <row r="24" spans="1:47" s="18" customFormat="1" x14ac:dyDescent="0.45">
      <c r="A24" s="12" t="s">
        <v>56</v>
      </c>
      <c r="B24" s="12" t="s">
        <v>22</v>
      </c>
      <c r="C24" s="12" t="s">
        <v>21</v>
      </c>
      <c r="D24" s="12" t="s">
        <v>57</v>
      </c>
      <c r="E24" s="12">
        <f t="shared" ref="E24" si="9">AB24</f>
        <v>83.5</v>
      </c>
      <c r="F24" s="23">
        <v>3.5000000000000003E-2</v>
      </c>
      <c r="G24" s="23">
        <v>15</v>
      </c>
      <c r="H24" s="23"/>
      <c r="I24" s="23"/>
      <c r="J24" s="23">
        <v>480</v>
      </c>
      <c r="K24" s="23">
        <v>1200</v>
      </c>
      <c r="L24" s="25">
        <v>0.6</v>
      </c>
      <c r="M24" s="25">
        <v>2</v>
      </c>
      <c r="N24" s="25">
        <v>1</v>
      </c>
      <c r="O24" s="25">
        <f t="shared" si="4"/>
        <v>30</v>
      </c>
      <c r="P24" s="25">
        <v>3</v>
      </c>
      <c r="Q24" s="16">
        <v>81</v>
      </c>
      <c r="R24" s="16">
        <v>86</v>
      </c>
      <c r="S24" s="16">
        <f>(Q24+R24)/2</f>
        <v>83.5</v>
      </c>
      <c r="T24" s="16">
        <v>29</v>
      </c>
      <c r="U24" s="16">
        <v>27</v>
      </c>
      <c r="V24" s="55">
        <f t="shared" ref="V24" si="10">(T24+U24)/2</f>
        <v>28</v>
      </c>
      <c r="W24" s="68">
        <f>V24/P24</f>
        <v>9.3333333333333339</v>
      </c>
      <c r="X24" s="16">
        <f t="shared" ref="X24" si="11">R24-Q24</f>
        <v>5</v>
      </c>
      <c r="Y24" s="16">
        <f t="shared" ref="Y24" si="12">T24-U24</f>
        <v>2</v>
      </c>
      <c r="Z24" s="2">
        <v>81</v>
      </c>
      <c r="AA24" s="2">
        <v>86</v>
      </c>
      <c r="AB24" s="2">
        <f>(Z24+AA24)/2</f>
        <v>83.5</v>
      </c>
      <c r="AC24" s="2">
        <f>(1.6+1.9)/2</f>
        <v>1.75</v>
      </c>
      <c r="AD24" s="2">
        <v>1.6</v>
      </c>
      <c r="AE24" s="9">
        <f>(1.8+2)/2</f>
        <v>1.9</v>
      </c>
      <c r="AF24" s="9"/>
      <c r="AG24" s="9"/>
      <c r="AH24" s="9"/>
      <c r="AI24" s="6">
        <f>2*1.5</f>
        <v>3</v>
      </c>
      <c r="AJ24" s="6"/>
      <c r="AK24" s="6"/>
      <c r="AL24" s="6" t="s">
        <v>203</v>
      </c>
      <c r="AM24" s="6" t="s">
        <v>547</v>
      </c>
      <c r="AN24" s="6" t="s">
        <v>545</v>
      </c>
      <c r="AO24" s="12">
        <v>2016</v>
      </c>
      <c r="AP24" s="12" t="s">
        <v>393</v>
      </c>
      <c r="AQ24" s="12" t="s">
        <v>58</v>
      </c>
      <c r="AR24" s="51" t="s">
        <v>392</v>
      </c>
      <c r="AS24" s="34" t="s">
        <v>394</v>
      </c>
      <c r="AT24" s="86">
        <v>17</v>
      </c>
      <c r="AU24" t="s">
        <v>59</v>
      </c>
    </row>
    <row r="25" spans="1:47" s="18" customFormat="1" x14ac:dyDescent="0.45">
      <c r="A25" s="12" t="s">
        <v>60</v>
      </c>
      <c r="B25" s="12" t="s">
        <v>22</v>
      </c>
      <c r="C25" s="12" t="s">
        <v>21</v>
      </c>
      <c r="D25" s="12" t="s">
        <v>61</v>
      </c>
      <c r="E25" s="12">
        <f t="shared" si="3"/>
        <v>90</v>
      </c>
      <c r="F25" s="23">
        <v>0.1</v>
      </c>
      <c r="G25" s="23">
        <v>15</v>
      </c>
      <c r="H25" s="23">
        <v>1000</v>
      </c>
      <c r="I25" s="23">
        <v>1500</v>
      </c>
      <c r="J25" s="23">
        <v>200</v>
      </c>
      <c r="K25" s="23"/>
      <c r="L25" s="25">
        <v>1</v>
      </c>
      <c r="M25" s="25">
        <v>2</v>
      </c>
      <c r="N25" s="25">
        <v>1</v>
      </c>
      <c r="O25" s="25">
        <f t="shared" si="4"/>
        <v>30</v>
      </c>
      <c r="P25" s="25">
        <v>5</v>
      </c>
      <c r="Q25" s="16">
        <v>76</v>
      </c>
      <c r="R25" s="16">
        <v>101.5</v>
      </c>
      <c r="S25" s="16"/>
      <c r="T25" s="16">
        <v>31</v>
      </c>
      <c r="U25" s="16">
        <v>29</v>
      </c>
      <c r="V25" s="55">
        <v>30</v>
      </c>
      <c r="W25" s="68">
        <f>V25/P25</f>
        <v>6</v>
      </c>
      <c r="X25" s="16">
        <f t="shared" si="1"/>
        <v>25.5</v>
      </c>
      <c r="Y25" s="16">
        <f t="shared" si="2"/>
        <v>2</v>
      </c>
      <c r="Z25" s="2">
        <v>80</v>
      </c>
      <c r="AA25" s="2">
        <v>100</v>
      </c>
      <c r="AB25" s="2">
        <f>(Z25+AA25)/2</f>
        <v>90</v>
      </c>
      <c r="AC25" s="2">
        <v>1.9</v>
      </c>
      <c r="AD25" s="2"/>
      <c r="AE25" s="9"/>
      <c r="AF25" s="9"/>
      <c r="AG25" s="9">
        <v>3.3000000000000002E-2</v>
      </c>
      <c r="AH25" s="9"/>
      <c r="AI25" s="6">
        <f>2*0.85</f>
        <v>1.7</v>
      </c>
      <c r="AJ25" s="6"/>
      <c r="AK25" s="6"/>
      <c r="AL25" s="6" t="s">
        <v>35</v>
      </c>
      <c r="AM25" s="6"/>
      <c r="AN25" s="6" t="s">
        <v>548</v>
      </c>
      <c r="AO25" s="12">
        <v>2014</v>
      </c>
      <c r="AP25" s="51" t="s">
        <v>396</v>
      </c>
      <c r="AQ25" s="12" t="s">
        <v>62</v>
      </c>
      <c r="AR25" s="51" t="s">
        <v>395</v>
      </c>
      <c r="AS25" s="12" t="s">
        <v>397</v>
      </c>
      <c r="AT25" s="86">
        <v>18</v>
      </c>
      <c r="AU25" t="s">
        <v>63</v>
      </c>
    </row>
    <row r="26" spans="1:47" s="18" customFormat="1" x14ac:dyDescent="0.45">
      <c r="A26" s="12" t="s">
        <v>60</v>
      </c>
      <c r="B26" s="12" t="s">
        <v>22</v>
      </c>
      <c r="C26" s="12" t="s">
        <v>21</v>
      </c>
      <c r="D26" s="12" t="s">
        <v>61</v>
      </c>
      <c r="E26" s="12">
        <f t="shared" si="3"/>
        <v>94</v>
      </c>
      <c r="F26" s="23">
        <v>0.1</v>
      </c>
      <c r="G26" s="23">
        <v>15</v>
      </c>
      <c r="H26" s="23">
        <v>1000</v>
      </c>
      <c r="I26" s="23">
        <v>1500</v>
      </c>
      <c r="J26" s="23">
        <v>200</v>
      </c>
      <c r="K26" s="23"/>
      <c r="L26" s="25">
        <v>1</v>
      </c>
      <c r="M26" s="25">
        <v>2</v>
      </c>
      <c r="N26" s="25">
        <v>1</v>
      </c>
      <c r="O26" s="25">
        <f t="shared" si="4"/>
        <v>30</v>
      </c>
      <c r="P26" s="25">
        <v>5</v>
      </c>
      <c r="Q26" s="16"/>
      <c r="R26" s="16"/>
      <c r="S26" s="16"/>
      <c r="T26" s="16"/>
      <c r="U26" s="16"/>
      <c r="V26" s="52"/>
      <c r="W26" s="68"/>
      <c r="X26" s="16"/>
      <c r="Y26" s="16"/>
      <c r="Z26" s="2">
        <v>92</v>
      </c>
      <c r="AA26" s="2">
        <v>96</v>
      </c>
      <c r="AB26" s="2">
        <f>(Z26+AA26)/2</f>
        <v>94</v>
      </c>
      <c r="AC26" s="2">
        <v>1.75</v>
      </c>
      <c r="AD26" s="2"/>
      <c r="AE26" s="9"/>
      <c r="AF26" s="9"/>
      <c r="AG26" s="9">
        <v>3.3000000000000002E-2</v>
      </c>
      <c r="AH26" s="9"/>
      <c r="AI26" s="6">
        <f>2*0.85</f>
        <v>1.7</v>
      </c>
      <c r="AJ26" s="6"/>
      <c r="AK26" s="6"/>
      <c r="AL26" s="6" t="s">
        <v>35</v>
      </c>
      <c r="AM26" s="6"/>
      <c r="AN26" s="6" t="s">
        <v>548</v>
      </c>
      <c r="AO26" s="12">
        <v>2014</v>
      </c>
      <c r="AP26" s="51" t="s">
        <v>396</v>
      </c>
      <c r="AQ26" s="12" t="s">
        <v>62</v>
      </c>
      <c r="AR26" s="51" t="s">
        <v>395</v>
      </c>
      <c r="AS26" s="12" t="s">
        <v>397</v>
      </c>
      <c r="AT26" s="86">
        <v>18</v>
      </c>
      <c r="AU26" t="s">
        <v>63</v>
      </c>
    </row>
    <row r="27" spans="1:47" s="18" customFormat="1" x14ac:dyDescent="0.45">
      <c r="A27" s="12" t="s">
        <v>72</v>
      </c>
      <c r="B27" s="12" t="s">
        <v>73</v>
      </c>
      <c r="C27" s="12" t="s">
        <v>74</v>
      </c>
      <c r="D27" s="12" t="s">
        <v>61</v>
      </c>
      <c r="E27" s="12">
        <f>AB27</f>
        <v>96</v>
      </c>
      <c r="F27" s="23">
        <v>0.1</v>
      </c>
      <c r="G27" s="23">
        <v>50</v>
      </c>
      <c r="H27" s="23"/>
      <c r="I27" s="23"/>
      <c r="J27" s="23">
        <v>258</v>
      </c>
      <c r="K27" s="23">
        <v>270</v>
      </c>
      <c r="L27" s="25"/>
      <c r="M27" s="25">
        <v>2</v>
      </c>
      <c r="N27" s="25">
        <v>1</v>
      </c>
      <c r="O27" s="25">
        <f t="shared" si="4"/>
        <v>100</v>
      </c>
      <c r="P27" s="25">
        <v>5</v>
      </c>
      <c r="Q27" s="16">
        <v>90</v>
      </c>
      <c r="R27" s="16">
        <v>102</v>
      </c>
      <c r="S27" s="16"/>
      <c r="T27" s="16">
        <f>21.2+1.5</f>
        <v>22.7</v>
      </c>
      <c r="U27" s="16">
        <f>21.2-1.5</f>
        <v>19.7</v>
      </c>
      <c r="V27" s="55">
        <f>(T27+U27)/2</f>
        <v>21.2</v>
      </c>
      <c r="W27" s="68">
        <f>V27/P27</f>
        <v>4.24</v>
      </c>
      <c r="X27" s="16">
        <f>R27-Q27</f>
        <v>12</v>
      </c>
      <c r="Y27" s="16">
        <f>T27-U27</f>
        <v>3</v>
      </c>
      <c r="Z27" s="2">
        <v>90</v>
      </c>
      <c r="AA27" s="2">
        <v>102</v>
      </c>
      <c r="AB27" s="2">
        <f t="shared" ref="AB27" si="13">(Z27+AA27)/2</f>
        <v>96</v>
      </c>
      <c r="AC27" s="2"/>
      <c r="AD27" s="2"/>
      <c r="AE27" s="9"/>
      <c r="AF27" s="9"/>
      <c r="AG27" s="9">
        <v>1.26E-2</v>
      </c>
      <c r="AH27" s="9"/>
      <c r="AI27" s="6">
        <f>3.2*1.7</f>
        <v>5.44</v>
      </c>
      <c r="AJ27" s="6"/>
      <c r="AK27" s="6"/>
      <c r="AL27" s="6" t="s">
        <v>35</v>
      </c>
      <c r="AM27" s="6"/>
      <c r="AN27" s="6" t="s">
        <v>549</v>
      </c>
      <c r="AO27" s="12">
        <v>2011</v>
      </c>
      <c r="AP27" s="12" t="s">
        <v>390</v>
      </c>
      <c r="AQ27" s="12" t="s">
        <v>388</v>
      </c>
      <c r="AR27" s="51" t="s">
        <v>389</v>
      </c>
      <c r="AS27" s="34" t="s">
        <v>391</v>
      </c>
      <c r="AT27" s="86">
        <v>19</v>
      </c>
      <c r="AU27" t="s">
        <v>75</v>
      </c>
    </row>
    <row r="28" spans="1:47" s="46" customFormat="1" x14ac:dyDescent="0.45">
      <c r="A28" s="38"/>
      <c r="B28" s="38"/>
      <c r="C28" s="38"/>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5"/>
      <c r="AR28" s="45"/>
      <c r="AS28" s="45"/>
      <c r="AT28" s="87"/>
      <c r="AU28" s="84"/>
    </row>
    <row r="29" spans="1:47" x14ac:dyDescent="0.45">
      <c r="A29" s="19"/>
      <c r="B29" s="19"/>
      <c r="C29" s="19"/>
      <c r="D29" s="12"/>
      <c r="E29" s="12"/>
      <c r="F29" s="23"/>
      <c r="G29" s="23"/>
      <c r="H29" s="23"/>
      <c r="I29" s="23"/>
      <c r="J29" s="23"/>
      <c r="K29" s="23"/>
      <c r="L29" s="25"/>
      <c r="M29" s="25"/>
      <c r="N29" s="25"/>
      <c r="O29" s="25"/>
      <c r="P29" s="25"/>
      <c r="Q29" s="16"/>
      <c r="R29" s="16"/>
      <c r="S29" s="16"/>
      <c r="T29" s="16"/>
      <c r="U29" s="16"/>
      <c r="V29" s="16"/>
      <c r="W29" s="16"/>
      <c r="X29" s="16"/>
      <c r="Y29" s="16"/>
      <c r="Z29" s="2"/>
      <c r="AA29" s="2"/>
      <c r="AB29" s="2"/>
      <c r="AC29" s="2"/>
      <c r="AD29" s="2"/>
      <c r="AE29" s="9"/>
      <c r="AF29" s="9"/>
      <c r="AG29" s="9"/>
      <c r="AH29" s="9"/>
      <c r="AI29" s="6"/>
      <c r="AJ29" s="6"/>
      <c r="AK29" s="6"/>
      <c r="AL29" s="6"/>
      <c r="AM29" s="6"/>
      <c r="AN29" s="6"/>
      <c r="AO29" s="12"/>
      <c r="AP29" s="12"/>
      <c r="AQ29" s="10"/>
      <c r="AR29" s="10"/>
      <c r="AS29" s="10"/>
      <c r="AT29" s="86"/>
    </row>
    <row r="30" spans="1:47" x14ac:dyDescent="0.45">
      <c r="A30" s="19"/>
      <c r="B30" s="19"/>
      <c r="C30" s="19"/>
      <c r="D30" s="12"/>
      <c r="E30" s="12"/>
      <c r="F30" s="23"/>
      <c r="G30" s="23"/>
      <c r="H30" s="23"/>
      <c r="I30" s="23"/>
      <c r="J30" s="23"/>
      <c r="K30" s="23"/>
      <c r="L30" s="25"/>
      <c r="M30" s="25"/>
      <c r="N30" s="25"/>
      <c r="O30" s="25"/>
      <c r="P30" s="25"/>
      <c r="Q30" s="16"/>
      <c r="R30" s="16"/>
      <c r="S30" s="16"/>
      <c r="T30" s="16"/>
      <c r="U30" s="16"/>
      <c r="V30" s="16"/>
      <c r="W30" s="16"/>
      <c r="X30" s="16"/>
      <c r="Y30" s="16"/>
      <c r="Z30" s="2"/>
      <c r="AA30" s="2"/>
      <c r="AB30" s="2"/>
      <c r="AC30" s="2"/>
      <c r="AD30" s="2"/>
      <c r="AE30" s="9"/>
      <c r="AF30" s="9"/>
      <c r="AG30" s="9"/>
      <c r="AH30" s="9"/>
      <c r="AI30" s="6"/>
      <c r="AJ30" s="6"/>
      <c r="AK30" s="6"/>
      <c r="AL30" s="6"/>
      <c r="AM30" s="6"/>
      <c r="AN30" s="6"/>
      <c r="AO30" s="12"/>
      <c r="AP30" s="12"/>
      <c r="AQ30" s="10"/>
      <c r="AR30" s="10"/>
      <c r="AS30" s="10"/>
      <c r="AT30" s="86"/>
    </row>
    <row r="31" spans="1:47" x14ac:dyDescent="0.45">
      <c r="A31" s="12"/>
      <c r="B31" s="12"/>
      <c r="C31" s="12"/>
      <c r="D31" s="12"/>
      <c r="E31" s="12"/>
      <c r="F31" s="23"/>
      <c r="G31" s="23"/>
      <c r="H31" s="23"/>
      <c r="I31" s="23"/>
      <c r="J31" s="23"/>
      <c r="K31" s="23"/>
      <c r="L31" s="25"/>
      <c r="M31" s="25"/>
      <c r="N31" s="25"/>
      <c r="O31" s="25"/>
      <c r="P31" s="25"/>
      <c r="Q31" s="16"/>
      <c r="R31" s="16"/>
      <c r="S31" s="16"/>
      <c r="T31" s="16"/>
      <c r="U31" s="16"/>
      <c r="V31" s="16"/>
      <c r="W31" s="16"/>
      <c r="X31" s="16"/>
      <c r="Y31" s="16"/>
      <c r="Z31" s="2"/>
      <c r="AA31" s="2"/>
      <c r="AB31" s="2"/>
      <c r="AC31" s="2"/>
      <c r="AD31" s="2"/>
      <c r="AE31" s="9"/>
      <c r="AF31" s="9"/>
      <c r="AG31" s="9"/>
      <c r="AH31" s="9"/>
      <c r="AI31" s="6"/>
      <c r="AJ31" s="6"/>
      <c r="AK31" s="6"/>
      <c r="AL31" s="6"/>
      <c r="AM31" s="6"/>
      <c r="AN31" s="6"/>
      <c r="AO31" s="12"/>
      <c r="AP31" s="10"/>
      <c r="AQ31" s="10"/>
      <c r="AR31" s="10"/>
      <c r="AS31" s="10"/>
      <c r="AT31" s="86"/>
    </row>
  </sheetData>
  <phoneticPr fontId="2"/>
  <hyperlinks>
    <hyperlink ref="AS3" r:id="rId1" xr:uid="{E6844253-1AFE-422C-A08B-25BB91D33C94}"/>
    <hyperlink ref="AS4" r:id="rId2" xr:uid="{37D97622-184E-4462-B922-AC6399EEBC82}"/>
    <hyperlink ref="AS5" r:id="rId3" xr:uid="{E56242D2-45D6-4FA3-A4ED-F23B4528E136}"/>
    <hyperlink ref="AS6" r:id="rId4" xr:uid="{861D4BD7-2378-4C9F-9688-500342773604}"/>
    <hyperlink ref="AS7" r:id="rId5" xr:uid="{38FC1475-1B89-4F31-A182-77136CB2E9B8}"/>
    <hyperlink ref="AS8" r:id="rId6" xr:uid="{F06560D4-BE24-4AB1-B412-B8000AD847CA}"/>
    <hyperlink ref="AS9" r:id="rId7" xr:uid="{137232E2-4887-4601-96AE-4E49097D5B6C}"/>
    <hyperlink ref="AS10" r:id="rId8" xr:uid="{FB1D2A61-9D64-491E-92B3-B834A3E88A97}"/>
    <hyperlink ref="AS11" r:id="rId9" xr:uid="{00C32E1E-94BF-44F2-90AA-DE34446D25C0}"/>
    <hyperlink ref="AS12" r:id="rId10" xr:uid="{15A5E847-A543-443D-8961-0F45DCB1F662}"/>
    <hyperlink ref="AS13" r:id="rId11" xr:uid="{7E822418-BFE9-4924-B5A0-1092D04F4BCF}"/>
    <hyperlink ref="AS2" r:id="rId12" xr:uid="{936D8DF0-1F9C-4EAE-9EC1-DF2CCCEC1DD3}"/>
    <hyperlink ref="AS14" r:id="rId13" xr:uid="{75B0A491-FD3B-4465-965D-E51332EB4E9C}"/>
    <hyperlink ref="AS19" r:id="rId14" xr:uid="{B274C844-A11F-4DC7-A00E-EDDD053B4D90}"/>
    <hyperlink ref="AS18" r:id="rId15" xr:uid="{B5FC1AB4-37D4-43F3-AC7A-B4BE2988D7E6}"/>
    <hyperlink ref="AS17" r:id="rId16" xr:uid="{D3E930A4-AABC-470D-8D9F-BF7B470FFCC8}"/>
    <hyperlink ref="AS16" r:id="rId17" xr:uid="{C4790801-B052-451B-8A77-99987FB4C140}"/>
    <hyperlink ref="AS27" r:id="rId18" xr:uid="{A5520354-C80B-472C-A5AE-7FEAD73107F2}"/>
    <hyperlink ref="AS21" r:id="rId19" xr:uid="{EA5040EA-20BD-476C-9307-C1D3C51D5CDF}"/>
    <hyperlink ref="AS22" r:id="rId20" xr:uid="{EEEDD0C8-5DF1-4E9C-B382-EF7FF3D5F948}"/>
    <hyperlink ref="AS23" r:id="rId21" xr:uid="{C3200FAF-7C04-4431-8E1E-868EB2A33983}"/>
    <hyperlink ref="AS24" r:id="rId22" xr:uid="{F9928494-6785-4433-979C-C5BD31CE7350}"/>
  </hyperlinks>
  <pageMargins left="0.7" right="0.7" top="0.75" bottom="0.75" header="0.3" footer="0.3"/>
  <pageSetup paperSize="9" orientation="portrait" horizontalDpi="4294967293" verticalDpi="4294967293" r:id="rId23"/>
  <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51A0-7783-42A8-AB27-E08D4773215F}">
  <dimension ref="A1:AX61"/>
  <sheetViews>
    <sheetView zoomScale="55" zoomScaleNormal="55" workbookViewId="0">
      <pane xSplit="1" ySplit="1" topLeftCell="B50" activePane="bottomRight" state="frozen"/>
      <selection pane="topRight" activeCell="B1" sqref="B1"/>
      <selection pane="bottomLeft" activeCell="A2" sqref="A2"/>
      <selection pane="bottomRight" activeCell="X69" sqref="X69"/>
    </sheetView>
  </sheetViews>
  <sheetFormatPr defaultColWidth="9" defaultRowHeight="18" x14ac:dyDescent="0.45"/>
  <cols>
    <col min="1" max="1" width="11.19921875" style="13" bestFit="1" customWidth="1"/>
    <col min="2" max="2" width="12.09765625" style="13" bestFit="1" customWidth="1"/>
    <col min="3" max="3" width="9.19921875" style="13" bestFit="1" customWidth="1"/>
    <col min="4" max="4" width="10.5" style="13" bestFit="1" customWidth="1"/>
    <col min="5" max="5" width="11.19921875" style="13" bestFit="1" customWidth="1"/>
    <col min="6" max="6" width="8" style="13" bestFit="1" customWidth="1"/>
    <col min="7" max="7" width="9.59765625" style="13" bestFit="1" customWidth="1"/>
    <col min="8" max="8" width="14.3984375" style="13" bestFit="1" customWidth="1"/>
    <col min="9" max="9" width="13.09765625" style="13" bestFit="1" customWidth="1"/>
    <col min="10" max="10" width="8.59765625" style="13" bestFit="1" customWidth="1"/>
    <col min="11" max="11" width="11.5" style="13" bestFit="1" customWidth="1"/>
    <col min="12" max="12" width="17.3984375" style="13" bestFit="1" customWidth="1"/>
    <col min="13" max="13" width="7.19921875" style="13" bestFit="1" customWidth="1"/>
    <col min="14" max="14" width="5.5" style="13" bestFit="1" customWidth="1"/>
    <col min="15" max="15" width="8.5" style="13" bestFit="1" customWidth="1"/>
    <col min="16" max="16" width="11.19921875" style="13" bestFit="1" customWidth="1"/>
    <col min="17" max="17" width="14.8984375" style="20" bestFit="1" customWidth="1"/>
    <col min="18" max="18" width="15.09765625" style="20" bestFit="1" customWidth="1"/>
    <col min="19" max="19" width="17" style="13" bestFit="1" customWidth="1"/>
    <col min="20" max="20" width="14.59765625" style="13" bestFit="1" customWidth="1"/>
    <col min="21" max="21" width="13.59765625" style="13" bestFit="1" customWidth="1"/>
    <col min="22" max="22" width="9.3984375" style="13" bestFit="1" customWidth="1"/>
    <col min="23" max="23" width="15.5" style="13" bestFit="1" customWidth="1"/>
    <col min="24" max="24" width="9.59765625" style="20" bestFit="1" customWidth="1"/>
    <col min="25" max="25" width="8.69921875" style="20" bestFit="1" customWidth="1"/>
    <col min="26" max="26" width="13.19921875" style="13" bestFit="1" customWidth="1"/>
    <col min="27" max="28" width="13.5" style="13" bestFit="1" customWidth="1"/>
    <col min="29" max="29" width="8" style="13" bestFit="1" customWidth="1"/>
    <col min="30" max="30" width="12.3984375" style="13" bestFit="1" customWidth="1"/>
    <col min="31" max="31" width="11.09765625" style="13" bestFit="1" customWidth="1"/>
    <col min="32" max="32" width="11" style="13" bestFit="1" customWidth="1"/>
    <col min="33" max="33" width="8.09765625" style="13" bestFit="1" customWidth="1"/>
    <col min="34" max="34" width="8.19921875" style="13" bestFit="1" customWidth="1"/>
    <col min="35" max="35" width="10.8984375" style="13" bestFit="1" customWidth="1"/>
    <col min="36" max="36" width="11" style="13" bestFit="1" customWidth="1"/>
    <col min="37" max="37" width="10.5" style="13" bestFit="1" customWidth="1"/>
    <col min="38" max="38" width="10.09765625" style="13" bestFit="1" customWidth="1"/>
    <col min="39" max="39" width="11.59765625" style="13" bestFit="1" customWidth="1"/>
    <col min="40" max="40" width="11.59765625" style="13" customWidth="1"/>
    <col min="41" max="41" width="5.59765625" style="13" bestFit="1" customWidth="1"/>
    <col min="42" max="42" width="100.09765625" style="13" bestFit="1" customWidth="1"/>
    <col min="43" max="43" width="125.19921875" style="13" bestFit="1" customWidth="1"/>
    <col min="44" max="44" width="21" style="13" bestFit="1" customWidth="1"/>
    <col min="45" max="45" width="43.19921875" style="13" bestFit="1" customWidth="1"/>
    <col min="46" max="46" width="4.69921875" bestFit="1" customWidth="1"/>
    <col min="47" max="47" width="6" bestFit="1" customWidth="1"/>
    <col min="48" max="16384" width="9" style="13"/>
  </cols>
  <sheetData>
    <row r="1" spans="1:50" x14ac:dyDescent="0.45">
      <c r="A1" s="12" t="s">
        <v>0</v>
      </c>
      <c r="B1" s="12" t="s">
        <v>1</v>
      </c>
      <c r="C1" s="12" t="s">
        <v>2</v>
      </c>
      <c r="D1" s="12" t="s">
        <v>3</v>
      </c>
      <c r="E1" s="12" t="s">
        <v>77</v>
      </c>
      <c r="F1" s="23" t="s">
        <v>5</v>
      </c>
      <c r="G1" s="23" t="s">
        <v>505</v>
      </c>
      <c r="H1" s="23" t="s">
        <v>7</v>
      </c>
      <c r="I1" s="23" t="s">
        <v>8</v>
      </c>
      <c r="J1" s="23" t="s">
        <v>9</v>
      </c>
      <c r="K1" s="23" t="s">
        <v>10</v>
      </c>
      <c r="L1" s="25" t="s">
        <v>4</v>
      </c>
      <c r="M1" s="25" t="s">
        <v>500</v>
      </c>
      <c r="N1" s="25" t="s">
        <v>501</v>
      </c>
      <c r="O1" s="25" t="s">
        <v>6</v>
      </c>
      <c r="P1" s="25" t="s">
        <v>93</v>
      </c>
      <c r="Q1" s="16" t="s">
        <v>85</v>
      </c>
      <c r="R1" s="16" t="s">
        <v>90</v>
      </c>
      <c r="S1" s="16" t="s">
        <v>86</v>
      </c>
      <c r="T1" s="16" t="s">
        <v>82</v>
      </c>
      <c r="U1" s="16" t="s">
        <v>83</v>
      </c>
      <c r="V1" s="16" t="s">
        <v>81</v>
      </c>
      <c r="W1" s="16" t="s">
        <v>280</v>
      </c>
      <c r="X1" s="16" t="s">
        <v>16</v>
      </c>
      <c r="Y1" s="16" t="s">
        <v>84</v>
      </c>
      <c r="Z1" s="2" t="s">
        <v>87</v>
      </c>
      <c r="AA1" s="2" t="s">
        <v>88</v>
      </c>
      <c r="AB1" s="2" t="s">
        <v>89</v>
      </c>
      <c r="AC1" s="2" t="s">
        <v>281</v>
      </c>
      <c r="AD1" s="2" t="s">
        <v>11</v>
      </c>
      <c r="AE1" s="9" t="s">
        <v>12</v>
      </c>
      <c r="AF1" s="9" t="s">
        <v>13</v>
      </c>
      <c r="AG1" s="9" t="s">
        <v>14</v>
      </c>
      <c r="AH1" s="9" t="s">
        <v>15</v>
      </c>
      <c r="AI1" s="6" t="s">
        <v>17</v>
      </c>
      <c r="AJ1" s="6" t="s">
        <v>503</v>
      </c>
      <c r="AK1" s="6" t="s">
        <v>504</v>
      </c>
      <c r="AL1" s="6" t="s">
        <v>18</v>
      </c>
      <c r="AM1" s="6" t="s">
        <v>19</v>
      </c>
      <c r="AN1" s="6" t="s">
        <v>502</v>
      </c>
      <c r="AO1" s="12" t="s">
        <v>20</v>
      </c>
      <c r="AP1" s="12" t="s">
        <v>91</v>
      </c>
      <c r="AQ1" s="12" t="s">
        <v>80</v>
      </c>
      <c r="AR1" s="12" t="s">
        <v>79</v>
      </c>
      <c r="AS1" s="10" t="s">
        <v>78</v>
      </c>
      <c r="AT1" s="86" t="s">
        <v>605</v>
      </c>
      <c r="AU1" t="s">
        <v>603</v>
      </c>
    </row>
    <row r="2" spans="1:50" s="18" customFormat="1" x14ac:dyDescent="0.45">
      <c r="A2" s="51" t="s">
        <v>178</v>
      </c>
      <c r="B2" s="51" t="s">
        <v>95</v>
      </c>
      <c r="C2" s="51" t="s">
        <v>179</v>
      </c>
      <c r="D2" s="51" t="s">
        <v>589</v>
      </c>
      <c r="E2" s="12">
        <f>AB2</f>
        <v>395</v>
      </c>
      <c r="F2" s="23">
        <v>3.5000000000000003E-2</v>
      </c>
      <c r="G2" s="23">
        <v>8</v>
      </c>
      <c r="H2" s="23">
        <v>1300</v>
      </c>
      <c r="I2" s="23">
        <v>2500</v>
      </c>
      <c r="J2" s="23">
        <v>500</v>
      </c>
      <c r="K2" s="23">
        <v>1000</v>
      </c>
      <c r="L2" s="25">
        <v>1.8</v>
      </c>
      <c r="M2" s="25">
        <v>2</v>
      </c>
      <c r="N2" s="25">
        <v>1</v>
      </c>
      <c r="O2" s="25">
        <f>G2*M2*N2</f>
        <v>16</v>
      </c>
      <c r="P2" s="25">
        <v>4</v>
      </c>
      <c r="Q2" s="16">
        <v>315</v>
      </c>
      <c r="R2" s="16">
        <v>475</v>
      </c>
      <c r="S2" s="16"/>
      <c r="T2" s="16"/>
      <c r="U2" s="16"/>
      <c r="V2" s="16">
        <v>23</v>
      </c>
      <c r="W2" s="52">
        <f t="shared" ref="W2:W40" si="0">V2/P2</f>
        <v>5.75</v>
      </c>
      <c r="X2" s="16">
        <f>R2-Q2</f>
        <v>160</v>
      </c>
      <c r="Y2" s="16">
        <v>3</v>
      </c>
      <c r="Z2" s="2">
        <v>315</v>
      </c>
      <c r="AA2" s="2">
        <v>475</v>
      </c>
      <c r="AB2" s="2">
        <f>(Z2+AA2)/2</f>
        <v>395</v>
      </c>
      <c r="AC2" s="2">
        <v>7.5</v>
      </c>
      <c r="AD2" s="2"/>
      <c r="AE2" s="9"/>
      <c r="AF2" s="9"/>
      <c r="AG2" s="9"/>
      <c r="AH2" s="9"/>
      <c r="AI2" s="6">
        <f>2.75*0.75</f>
        <v>2.0625</v>
      </c>
      <c r="AJ2" s="6"/>
      <c r="AK2" s="6" t="s">
        <v>271</v>
      </c>
      <c r="AL2" s="6" t="s">
        <v>35</v>
      </c>
      <c r="AM2" s="6" t="s">
        <v>190</v>
      </c>
      <c r="AN2" s="6" t="s">
        <v>557</v>
      </c>
      <c r="AO2" s="51">
        <v>2021</v>
      </c>
      <c r="AP2" s="51" t="s">
        <v>439</v>
      </c>
      <c r="AQ2" s="51" t="s">
        <v>438</v>
      </c>
      <c r="AR2" s="51" t="s">
        <v>191</v>
      </c>
      <c r="AS2" s="34" t="s">
        <v>440</v>
      </c>
      <c r="AT2" s="86">
        <v>1</v>
      </c>
      <c r="AU2" t="s">
        <v>192</v>
      </c>
    </row>
    <row r="3" spans="1:50" s="18" customFormat="1" x14ac:dyDescent="0.45">
      <c r="A3" s="51" t="s">
        <v>178</v>
      </c>
      <c r="B3" s="51" t="s">
        <v>95</v>
      </c>
      <c r="C3" s="51" t="s">
        <v>179</v>
      </c>
      <c r="D3" s="51" t="s">
        <v>111</v>
      </c>
      <c r="E3" s="12">
        <f t="shared" ref="E3:E18" si="1">AB3</f>
        <v>285</v>
      </c>
      <c r="F3" s="23">
        <v>3.5000000000000003E-2</v>
      </c>
      <c r="G3" s="23">
        <v>13</v>
      </c>
      <c r="H3" s="23">
        <v>1600</v>
      </c>
      <c r="I3" s="23">
        <v>2500</v>
      </c>
      <c r="J3" s="23">
        <v>550</v>
      </c>
      <c r="K3" s="23">
        <v>1000</v>
      </c>
      <c r="L3" s="25"/>
      <c r="M3" s="25">
        <v>2</v>
      </c>
      <c r="N3" s="25">
        <v>1</v>
      </c>
      <c r="O3" s="25">
        <f>G3*M3*N3</f>
        <v>26</v>
      </c>
      <c r="P3" s="25">
        <v>3</v>
      </c>
      <c r="Q3" s="16">
        <v>220</v>
      </c>
      <c r="R3" s="16">
        <v>325</v>
      </c>
      <c r="S3" s="16"/>
      <c r="T3" s="16"/>
      <c r="U3" s="16"/>
      <c r="V3" s="16">
        <v>22</v>
      </c>
      <c r="W3" s="52">
        <f t="shared" si="0"/>
        <v>7.333333333333333</v>
      </c>
      <c r="X3" s="16">
        <f t="shared" ref="X3:X18" si="2">R3-Q3</f>
        <v>105</v>
      </c>
      <c r="Y3" s="16">
        <v>2</v>
      </c>
      <c r="Z3" s="2">
        <v>250</v>
      </c>
      <c r="AA3" s="2">
        <v>320</v>
      </c>
      <c r="AB3" s="2">
        <f>(Z3+AA3)/2</f>
        <v>285</v>
      </c>
      <c r="AC3" s="2">
        <v>6.7</v>
      </c>
      <c r="AD3" s="2">
        <v>6.2</v>
      </c>
      <c r="AE3" s="9"/>
      <c r="AF3" s="9"/>
      <c r="AG3" s="9"/>
      <c r="AH3" s="9"/>
      <c r="AI3" s="6">
        <f>1*0.75</f>
        <v>0.75</v>
      </c>
      <c r="AJ3" s="6"/>
      <c r="AK3" s="6"/>
      <c r="AL3" s="6" t="s">
        <v>35</v>
      </c>
      <c r="AM3" s="6" t="s">
        <v>193</v>
      </c>
      <c r="AN3" s="6" t="s">
        <v>558</v>
      </c>
      <c r="AO3" s="51">
        <v>2020</v>
      </c>
      <c r="AP3" s="51" t="s">
        <v>444</v>
      </c>
      <c r="AQ3" s="51" t="s">
        <v>441</v>
      </c>
      <c r="AR3" s="51" t="s">
        <v>194</v>
      </c>
      <c r="AS3" s="12" t="s">
        <v>397</v>
      </c>
      <c r="AT3" s="86">
        <v>2</v>
      </c>
      <c r="AU3" t="s">
        <v>195</v>
      </c>
    </row>
    <row r="4" spans="1:50" s="18" customFormat="1" x14ac:dyDescent="0.45">
      <c r="A4" s="51" t="s">
        <v>178</v>
      </c>
      <c r="B4" s="51" t="s">
        <v>95</v>
      </c>
      <c r="C4" s="51" t="s">
        <v>179</v>
      </c>
      <c r="D4" s="12" t="s">
        <v>61</v>
      </c>
      <c r="E4" s="12">
        <f t="shared" si="1"/>
        <v>91.5</v>
      </c>
      <c r="F4" s="23">
        <v>0.05</v>
      </c>
      <c r="G4" s="23">
        <v>12</v>
      </c>
      <c r="H4" s="23"/>
      <c r="I4" s="23">
        <v>2100</v>
      </c>
      <c r="J4" s="23"/>
      <c r="K4" s="23"/>
      <c r="L4" s="25"/>
      <c r="M4" s="25">
        <v>4</v>
      </c>
      <c r="N4" s="25">
        <v>1</v>
      </c>
      <c r="O4" s="25">
        <f>G4*M4*N4</f>
        <v>48</v>
      </c>
      <c r="P4" s="25">
        <v>4</v>
      </c>
      <c r="Q4" s="16">
        <v>60</v>
      </c>
      <c r="R4" s="16">
        <v>124</v>
      </c>
      <c r="S4" s="16">
        <v>65</v>
      </c>
      <c r="T4" s="16">
        <v>33</v>
      </c>
      <c r="U4" s="16">
        <v>25</v>
      </c>
      <c r="V4" s="16">
        <f>(T4+U4)/2</f>
        <v>29</v>
      </c>
      <c r="W4" s="52">
        <f t="shared" si="0"/>
        <v>7.25</v>
      </c>
      <c r="X4" s="16">
        <f t="shared" si="2"/>
        <v>64</v>
      </c>
      <c r="Y4" s="16">
        <f t="shared" ref="Y4:Y9" si="3">T4-U4</f>
        <v>8</v>
      </c>
      <c r="Z4" s="2">
        <v>75</v>
      </c>
      <c r="AA4" s="2">
        <v>108</v>
      </c>
      <c r="AB4" s="2">
        <f>(Z4+AA4)/2</f>
        <v>91.5</v>
      </c>
      <c r="AC4" s="2">
        <v>1.9</v>
      </c>
      <c r="AD4" s="2">
        <v>1.6</v>
      </c>
      <c r="AE4" s="9"/>
      <c r="AF4" s="9"/>
      <c r="AG4" s="9">
        <v>3.0300000000000001E-2</v>
      </c>
      <c r="AH4" s="9"/>
      <c r="AI4" s="6">
        <f>1.5*0.75</f>
        <v>1.125</v>
      </c>
      <c r="AJ4" s="6"/>
      <c r="AK4" s="6"/>
      <c r="AL4" s="6" t="s">
        <v>35</v>
      </c>
      <c r="AM4" s="6" t="s">
        <v>199</v>
      </c>
      <c r="AN4" s="6" t="s">
        <v>559</v>
      </c>
      <c r="AO4" s="51">
        <v>2019</v>
      </c>
      <c r="AP4" s="51" t="s">
        <v>445</v>
      </c>
      <c r="AQ4" s="51" t="s">
        <v>442</v>
      </c>
      <c r="AR4" s="51" t="s">
        <v>200</v>
      </c>
      <c r="AS4" s="34" t="s">
        <v>446</v>
      </c>
      <c r="AT4" s="86">
        <v>3</v>
      </c>
      <c r="AU4" t="s">
        <v>201</v>
      </c>
      <c r="AX4" s="28"/>
    </row>
    <row r="5" spans="1:50" s="18" customFormat="1" x14ac:dyDescent="0.45">
      <c r="A5" s="51" t="s">
        <v>178</v>
      </c>
      <c r="B5" s="51" t="s">
        <v>95</v>
      </c>
      <c r="C5" s="51" t="s">
        <v>179</v>
      </c>
      <c r="D5" s="12" t="s">
        <v>61</v>
      </c>
      <c r="E5" s="12">
        <f t="shared" si="1"/>
        <v>91.5</v>
      </c>
      <c r="F5" s="23">
        <v>0.05</v>
      </c>
      <c r="G5" s="23">
        <v>12</v>
      </c>
      <c r="H5" s="23"/>
      <c r="I5" s="23">
        <v>2100</v>
      </c>
      <c r="J5" s="23"/>
      <c r="K5" s="23"/>
      <c r="L5" s="25"/>
      <c r="M5" s="25">
        <v>4</v>
      </c>
      <c r="N5" s="25">
        <v>1</v>
      </c>
      <c r="O5" s="25">
        <f t="shared" ref="O5:O39" si="4">G5*M5*N5</f>
        <v>48</v>
      </c>
      <c r="P5" s="25">
        <v>4</v>
      </c>
      <c r="Q5" s="16">
        <v>60</v>
      </c>
      <c r="R5" s="16">
        <v>120</v>
      </c>
      <c r="S5" s="16">
        <v>65</v>
      </c>
      <c r="T5" s="16">
        <v>28.5</v>
      </c>
      <c r="U5" s="16">
        <v>23</v>
      </c>
      <c r="V5" s="16">
        <f t="shared" ref="V5:V7" si="5">(T5+U5)/2</f>
        <v>25.75</v>
      </c>
      <c r="W5" s="52">
        <f t="shared" si="0"/>
        <v>6.4375</v>
      </c>
      <c r="X5" s="16">
        <f t="shared" si="2"/>
        <v>60</v>
      </c>
      <c r="Y5" s="16">
        <f t="shared" si="3"/>
        <v>5.5</v>
      </c>
      <c r="Z5" s="2">
        <v>75</v>
      </c>
      <c r="AA5" s="2">
        <v>108</v>
      </c>
      <c r="AB5" s="2">
        <f t="shared" ref="AB5:AB11" si="6">(Z5+AA5)/2</f>
        <v>91.5</v>
      </c>
      <c r="AC5" s="2">
        <v>2.15</v>
      </c>
      <c r="AD5" s="2"/>
      <c r="AE5" s="9"/>
      <c r="AF5" s="9"/>
      <c r="AG5" s="9">
        <v>3.5299999999999998E-2</v>
      </c>
      <c r="AH5" s="9"/>
      <c r="AI5" s="6">
        <f>1.5*0.75</f>
        <v>1.125</v>
      </c>
      <c r="AJ5" s="6"/>
      <c r="AK5" s="6"/>
      <c r="AL5" s="6" t="s">
        <v>35</v>
      </c>
      <c r="AM5" s="6" t="s">
        <v>199</v>
      </c>
      <c r="AN5" s="6" t="s">
        <v>559</v>
      </c>
      <c r="AO5" s="51">
        <v>2019</v>
      </c>
      <c r="AP5" s="51" t="s">
        <v>445</v>
      </c>
      <c r="AQ5" s="51" t="s">
        <v>442</v>
      </c>
      <c r="AR5" s="51" t="s">
        <v>200</v>
      </c>
      <c r="AS5" s="34" t="s">
        <v>446</v>
      </c>
      <c r="AT5" s="86">
        <v>3</v>
      </c>
      <c r="AU5" t="s">
        <v>201</v>
      </c>
      <c r="AX5" s="28"/>
    </row>
    <row r="6" spans="1:50" s="18" customFormat="1" x14ac:dyDescent="0.45">
      <c r="A6" s="51" t="s">
        <v>178</v>
      </c>
      <c r="B6" s="51" t="s">
        <v>95</v>
      </c>
      <c r="C6" s="51" t="s">
        <v>179</v>
      </c>
      <c r="D6" s="12" t="s">
        <v>61</v>
      </c>
      <c r="E6" s="12">
        <f t="shared" si="1"/>
        <v>91.5</v>
      </c>
      <c r="F6" s="23">
        <v>0.05</v>
      </c>
      <c r="G6" s="23">
        <v>12</v>
      </c>
      <c r="H6" s="23"/>
      <c r="I6" s="23">
        <v>2100</v>
      </c>
      <c r="J6" s="23"/>
      <c r="K6" s="23"/>
      <c r="L6" s="25"/>
      <c r="M6" s="25">
        <v>4</v>
      </c>
      <c r="N6" s="25">
        <v>2</v>
      </c>
      <c r="O6" s="25">
        <f t="shared" si="4"/>
        <v>96</v>
      </c>
      <c r="P6" s="25">
        <v>4</v>
      </c>
      <c r="Q6" s="16">
        <v>60</v>
      </c>
      <c r="R6" s="16">
        <v>124</v>
      </c>
      <c r="S6" s="16">
        <v>65</v>
      </c>
      <c r="T6" s="16">
        <v>28.5</v>
      </c>
      <c r="U6" s="16">
        <v>23</v>
      </c>
      <c r="V6" s="16">
        <f t="shared" si="5"/>
        <v>25.75</v>
      </c>
      <c r="W6" s="52">
        <f t="shared" si="0"/>
        <v>6.4375</v>
      </c>
      <c r="X6" s="16">
        <f t="shared" si="2"/>
        <v>64</v>
      </c>
      <c r="Y6" s="16">
        <f t="shared" si="3"/>
        <v>5.5</v>
      </c>
      <c r="Z6" s="2">
        <v>75</v>
      </c>
      <c r="AA6" s="2">
        <v>108</v>
      </c>
      <c r="AB6" s="2">
        <f t="shared" si="6"/>
        <v>91.5</v>
      </c>
      <c r="AC6" s="2">
        <v>2.6</v>
      </c>
      <c r="AD6" s="2">
        <v>2.4</v>
      </c>
      <c r="AE6" s="9"/>
      <c r="AF6" s="9"/>
      <c r="AG6" s="9">
        <v>5.0200000000000002E-2</v>
      </c>
      <c r="AH6" s="9"/>
      <c r="AI6" s="6">
        <f>2*1.25</f>
        <v>2.5</v>
      </c>
      <c r="AJ6" s="6"/>
      <c r="AK6" s="6"/>
      <c r="AL6" s="6" t="s">
        <v>35</v>
      </c>
      <c r="AM6" s="6" t="s">
        <v>202</v>
      </c>
      <c r="AN6" s="6" t="s">
        <v>559</v>
      </c>
      <c r="AO6" s="51">
        <v>2019</v>
      </c>
      <c r="AP6" s="51" t="s">
        <v>445</v>
      </c>
      <c r="AQ6" s="51" t="s">
        <v>442</v>
      </c>
      <c r="AR6" s="51" t="s">
        <v>200</v>
      </c>
      <c r="AS6" s="34" t="s">
        <v>446</v>
      </c>
      <c r="AT6" s="86">
        <v>3</v>
      </c>
      <c r="AU6" t="s">
        <v>201</v>
      </c>
    </row>
    <row r="7" spans="1:50" s="18" customFormat="1" x14ac:dyDescent="0.45">
      <c r="A7" s="51" t="s">
        <v>178</v>
      </c>
      <c r="B7" s="51" t="s">
        <v>95</v>
      </c>
      <c r="C7" s="51" t="s">
        <v>179</v>
      </c>
      <c r="D7" s="51" t="s">
        <v>111</v>
      </c>
      <c r="E7" s="12">
        <f t="shared" si="1"/>
        <v>305</v>
      </c>
      <c r="F7" s="23">
        <v>3.5000000000000003E-2</v>
      </c>
      <c r="G7" s="23">
        <v>7</v>
      </c>
      <c r="H7" s="23"/>
      <c r="I7" s="23"/>
      <c r="J7" s="23">
        <v>515</v>
      </c>
      <c r="K7" s="23">
        <v>1000</v>
      </c>
      <c r="L7" s="25"/>
      <c r="M7" s="25">
        <v>2</v>
      </c>
      <c r="N7" s="25">
        <v>1</v>
      </c>
      <c r="O7" s="25">
        <f t="shared" si="4"/>
        <v>14</v>
      </c>
      <c r="P7" s="25">
        <v>4</v>
      </c>
      <c r="Q7" s="16">
        <v>252</v>
      </c>
      <c r="R7" s="16">
        <v>330</v>
      </c>
      <c r="S7" s="16">
        <v>314</v>
      </c>
      <c r="T7" s="16">
        <v>29</v>
      </c>
      <c r="U7" s="16">
        <v>26</v>
      </c>
      <c r="V7" s="16">
        <f t="shared" si="5"/>
        <v>27.5</v>
      </c>
      <c r="W7" s="52">
        <f t="shared" si="0"/>
        <v>6.875</v>
      </c>
      <c r="X7" s="16">
        <f t="shared" si="2"/>
        <v>78</v>
      </c>
      <c r="Y7" s="16">
        <f t="shared" si="3"/>
        <v>3</v>
      </c>
      <c r="Z7" s="2">
        <v>280</v>
      </c>
      <c r="AA7" s="2">
        <v>330</v>
      </c>
      <c r="AB7" s="2">
        <f t="shared" si="6"/>
        <v>305</v>
      </c>
      <c r="AC7" s="2">
        <v>6.5</v>
      </c>
      <c r="AD7" s="2"/>
      <c r="AE7" s="9"/>
      <c r="AF7" s="9"/>
      <c r="AG7" s="9"/>
      <c r="AH7" s="9"/>
      <c r="AI7" s="6">
        <f>2.4*0.5</f>
        <v>1.2</v>
      </c>
      <c r="AJ7" s="6" t="s">
        <v>560</v>
      </c>
      <c r="AK7" s="6"/>
      <c r="AL7" s="6" t="s">
        <v>203</v>
      </c>
      <c r="AM7" s="6" t="s">
        <v>146</v>
      </c>
      <c r="AN7" s="53" t="s">
        <v>561</v>
      </c>
      <c r="AO7" s="51">
        <v>2017</v>
      </c>
      <c r="AP7" s="51" t="s">
        <v>447</v>
      </c>
      <c r="AQ7" s="51" t="s">
        <v>204</v>
      </c>
      <c r="AR7" s="51" t="s">
        <v>205</v>
      </c>
      <c r="AS7" s="34" t="s">
        <v>448</v>
      </c>
      <c r="AT7" s="86">
        <v>4</v>
      </c>
      <c r="AU7" t="s">
        <v>206</v>
      </c>
    </row>
    <row r="8" spans="1:50" s="18" customFormat="1" x14ac:dyDescent="0.45">
      <c r="A8" s="51" t="s">
        <v>178</v>
      </c>
      <c r="B8" s="51" t="s">
        <v>95</v>
      </c>
      <c r="C8" s="51" t="s">
        <v>179</v>
      </c>
      <c r="D8" s="51" t="s">
        <v>61</v>
      </c>
      <c r="E8" s="12">
        <f t="shared" si="1"/>
        <v>92.5</v>
      </c>
      <c r="F8" s="23">
        <v>3.5000000000000003E-2</v>
      </c>
      <c r="G8" s="23">
        <v>10</v>
      </c>
      <c r="H8" s="23"/>
      <c r="I8" s="23"/>
      <c r="J8" s="23">
        <v>515</v>
      </c>
      <c r="K8" s="23">
        <v>1000</v>
      </c>
      <c r="L8" s="25">
        <v>0.8</v>
      </c>
      <c r="M8" s="25">
        <v>4</v>
      </c>
      <c r="N8" s="25">
        <v>1</v>
      </c>
      <c r="O8" s="25">
        <f t="shared" si="4"/>
        <v>40</v>
      </c>
      <c r="P8" s="25">
        <v>4</v>
      </c>
      <c r="Q8" s="16">
        <v>52</v>
      </c>
      <c r="R8" s="16">
        <v>126</v>
      </c>
      <c r="S8" s="16"/>
      <c r="T8" s="16">
        <v>28</v>
      </c>
      <c r="U8" s="16">
        <v>23</v>
      </c>
      <c r="V8" s="16">
        <v>26.2</v>
      </c>
      <c r="W8" s="52">
        <f t="shared" si="0"/>
        <v>6.55</v>
      </c>
      <c r="X8" s="16">
        <f t="shared" si="2"/>
        <v>74</v>
      </c>
      <c r="Y8" s="16">
        <f t="shared" si="3"/>
        <v>5</v>
      </c>
      <c r="Z8" s="2">
        <v>75</v>
      </c>
      <c r="AA8" s="2">
        <v>110</v>
      </c>
      <c r="AB8" s="2">
        <f t="shared" si="6"/>
        <v>92.5</v>
      </c>
      <c r="AC8" s="2">
        <v>1.9</v>
      </c>
      <c r="AD8" s="2">
        <v>1.6</v>
      </c>
      <c r="AE8" s="9"/>
      <c r="AF8" s="9"/>
      <c r="AG8" s="9">
        <v>4.0800000000000003E-2</v>
      </c>
      <c r="AH8" s="9"/>
      <c r="AI8" s="6">
        <f>1.5*1</f>
        <v>1.5</v>
      </c>
      <c r="AJ8" s="6"/>
      <c r="AK8" s="6"/>
      <c r="AL8" s="6" t="s">
        <v>35</v>
      </c>
      <c r="AM8" s="6" t="s">
        <v>207</v>
      </c>
      <c r="AN8" s="53" t="s">
        <v>562</v>
      </c>
      <c r="AO8" s="51">
        <v>2017</v>
      </c>
      <c r="AP8" s="51" t="s">
        <v>449</v>
      </c>
      <c r="AQ8" s="51" t="s">
        <v>208</v>
      </c>
      <c r="AR8" s="51" t="s">
        <v>200</v>
      </c>
      <c r="AS8" s="34" t="s">
        <v>450</v>
      </c>
      <c r="AT8" s="86">
        <v>5</v>
      </c>
      <c r="AU8" t="s">
        <v>209</v>
      </c>
    </row>
    <row r="9" spans="1:50" s="18" customFormat="1" x14ac:dyDescent="0.45">
      <c r="A9" s="51" t="s">
        <v>178</v>
      </c>
      <c r="B9" s="51" t="s">
        <v>95</v>
      </c>
      <c r="C9" s="51" t="s">
        <v>179</v>
      </c>
      <c r="D9" s="51" t="s">
        <v>61</v>
      </c>
      <c r="E9" s="12">
        <f t="shared" si="1"/>
        <v>92.5</v>
      </c>
      <c r="F9" s="23">
        <v>0.05</v>
      </c>
      <c r="G9" s="23">
        <v>12</v>
      </c>
      <c r="H9" s="23"/>
      <c r="I9" s="23"/>
      <c r="J9" s="23">
        <v>380</v>
      </c>
      <c r="K9" s="23">
        <v>670</v>
      </c>
      <c r="L9" s="25">
        <v>0.8</v>
      </c>
      <c r="M9" s="25">
        <v>4</v>
      </c>
      <c r="N9" s="25">
        <v>1</v>
      </c>
      <c r="O9" s="25">
        <f t="shared" si="4"/>
        <v>48</v>
      </c>
      <c r="P9" s="25">
        <v>4</v>
      </c>
      <c r="Q9" s="16">
        <v>49</v>
      </c>
      <c r="R9" s="16">
        <v>117</v>
      </c>
      <c r="S9" s="16"/>
      <c r="T9" s="16">
        <v>27</v>
      </c>
      <c r="U9" s="16">
        <v>20</v>
      </c>
      <c r="V9" s="16">
        <v>25</v>
      </c>
      <c r="W9" s="52">
        <f t="shared" si="0"/>
        <v>6.25</v>
      </c>
      <c r="X9" s="16">
        <f t="shared" si="2"/>
        <v>68</v>
      </c>
      <c r="Y9" s="16">
        <f t="shared" si="3"/>
        <v>7</v>
      </c>
      <c r="Z9" s="2">
        <v>75</v>
      </c>
      <c r="AA9" s="2">
        <v>110</v>
      </c>
      <c r="AB9" s="2">
        <f t="shared" si="6"/>
        <v>92.5</v>
      </c>
      <c r="AC9" s="2">
        <v>2.1</v>
      </c>
      <c r="AD9" s="2">
        <v>1.8</v>
      </c>
      <c r="AE9" s="9"/>
      <c r="AF9" s="9"/>
      <c r="AG9" s="9">
        <v>3.4599999999999999E-2</v>
      </c>
      <c r="AH9" s="9"/>
      <c r="AI9" s="6">
        <f>1.5*1</f>
        <v>1.5</v>
      </c>
      <c r="AJ9" s="6"/>
      <c r="AK9" s="6"/>
      <c r="AL9" s="6" t="s">
        <v>35</v>
      </c>
      <c r="AM9" s="6" t="s">
        <v>210</v>
      </c>
      <c r="AN9" s="53" t="s">
        <v>562</v>
      </c>
      <c r="AO9" s="51">
        <v>2017</v>
      </c>
      <c r="AP9" s="51" t="s">
        <v>449</v>
      </c>
      <c r="AQ9" s="51" t="s">
        <v>208</v>
      </c>
      <c r="AR9" s="51" t="s">
        <v>200</v>
      </c>
      <c r="AS9" s="34" t="s">
        <v>450</v>
      </c>
      <c r="AT9" s="86">
        <v>5</v>
      </c>
      <c r="AU9" t="s">
        <v>209</v>
      </c>
    </row>
    <row r="10" spans="1:50" s="18" customFormat="1" x14ac:dyDescent="0.45">
      <c r="A10" s="51" t="s">
        <v>178</v>
      </c>
      <c r="B10" s="51" t="s">
        <v>95</v>
      </c>
      <c r="C10" s="51" t="s">
        <v>179</v>
      </c>
      <c r="D10" s="51" t="s">
        <v>102</v>
      </c>
      <c r="E10" s="12">
        <f t="shared" si="1"/>
        <v>130.5</v>
      </c>
      <c r="F10" s="23">
        <v>0.05</v>
      </c>
      <c r="G10" s="23">
        <v>15</v>
      </c>
      <c r="H10" s="23">
        <v>1200</v>
      </c>
      <c r="I10" s="23">
        <v>1800</v>
      </c>
      <c r="J10" s="23">
        <v>380</v>
      </c>
      <c r="K10" s="23">
        <v>670</v>
      </c>
      <c r="L10" s="25"/>
      <c r="M10" s="25">
        <v>2</v>
      </c>
      <c r="N10" s="25">
        <v>1</v>
      </c>
      <c r="O10" s="25">
        <f t="shared" si="4"/>
        <v>30</v>
      </c>
      <c r="P10" s="25">
        <v>3</v>
      </c>
      <c r="Q10" s="16">
        <v>97</v>
      </c>
      <c r="R10" s="16">
        <v>164</v>
      </c>
      <c r="S10" s="16">
        <v>148</v>
      </c>
      <c r="T10" s="16">
        <v>30.8</v>
      </c>
      <c r="U10" s="16">
        <f>T10-3</f>
        <v>27.8</v>
      </c>
      <c r="V10" s="16">
        <f t="shared" ref="V10:V18" si="7">(T10+U10)/2</f>
        <v>29.3</v>
      </c>
      <c r="W10" s="52">
        <f t="shared" si="0"/>
        <v>9.7666666666666675</v>
      </c>
      <c r="X10" s="16">
        <f t="shared" si="2"/>
        <v>67</v>
      </c>
      <c r="Y10" s="16">
        <v>3</v>
      </c>
      <c r="Z10" s="2">
        <v>97</v>
      </c>
      <c r="AA10" s="2">
        <v>164</v>
      </c>
      <c r="AB10" s="2">
        <f t="shared" si="6"/>
        <v>130.5</v>
      </c>
      <c r="AC10" s="2">
        <v>3.4</v>
      </c>
      <c r="AD10" s="2">
        <v>3</v>
      </c>
      <c r="AE10" s="9"/>
      <c r="AF10" s="9"/>
      <c r="AG10" s="9">
        <v>5.7599999999999998E-2</v>
      </c>
      <c r="AH10" s="9"/>
      <c r="AI10" s="6">
        <f>2*0.75</f>
        <v>1.5</v>
      </c>
      <c r="AJ10" s="6" t="s">
        <v>560</v>
      </c>
      <c r="AK10" s="6"/>
      <c r="AL10" s="6" t="s">
        <v>35</v>
      </c>
      <c r="AM10" s="6" t="s">
        <v>211</v>
      </c>
      <c r="AN10" s="6" t="s">
        <v>563</v>
      </c>
      <c r="AO10" s="51">
        <v>2017</v>
      </c>
      <c r="AP10" s="51" t="s">
        <v>451</v>
      </c>
      <c r="AQ10" s="51" t="s">
        <v>212</v>
      </c>
      <c r="AR10" s="51" t="s">
        <v>194</v>
      </c>
      <c r="AS10" s="34" t="s">
        <v>452</v>
      </c>
      <c r="AT10" s="86">
        <v>6</v>
      </c>
      <c r="AU10" t="s">
        <v>213</v>
      </c>
    </row>
    <row r="11" spans="1:50" s="18" customFormat="1" x14ac:dyDescent="0.45">
      <c r="A11" s="51" t="s">
        <v>178</v>
      </c>
      <c r="B11" s="51" t="s">
        <v>95</v>
      </c>
      <c r="C11" s="51" t="s">
        <v>179</v>
      </c>
      <c r="D11" s="51" t="s">
        <v>102</v>
      </c>
      <c r="E11" s="12">
        <f t="shared" si="1"/>
        <v>126</v>
      </c>
      <c r="F11" s="23">
        <v>0.1</v>
      </c>
      <c r="G11" s="23">
        <v>15</v>
      </c>
      <c r="H11" s="23">
        <v>900</v>
      </c>
      <c r="I11" s="23">
        <v>1300</v>
      </c>
      <c r="J11" s="23">
        <v>220</v>
      </c>
      <c r="K11" s="23">
        <v>330</v>
      </c>
      <c r="L11" s="25"/>
      <c r="M11" s="72">
        <v>2</v>
      </c>
      <c r="N11" s="72">
        <v>1</v>
      </c>
      <c r="O11" s="25">
        <f t="shared" si="4"/>
        <v>30</v>
      </c>
      <c r="P11" s="72">
        <v>3</v>
      </c>
      <c r="Q11" s="16">
        <v>97</v>
      </c>
      <c r="R11" s="16">
        <v>155</v>
      </c>
      <c r="S11" s="73">
        <v>140</v>
      </c>
      <c r="T11" s="73">
        <v>23</v>
      </c>
      <c r="U11" s="16">
        <f>T11-3</f>
        <v>20</v>
      </c>
      <c r="V11" s="16">
        <f t="shared" si="7"/>
        <v>21.5</v>
      </c>
      <c r="W11" s="52">
        <f t="shared" si="0"/>
        <v>7.166666666666667</v>
      </c>
      <c r="X11" s="16">
        <f t="shared" si="2"/>
        <v>58</v>
      </c>
      <c r="Y11" s="16">
        <v>3</v>
      </c>
      <c r="Z11" s="2">
        <v>97</v>
      </c>
      <c r="AA11" s="2">
        <v>155</v>
      </c>
      <c r="AB11" s="2">
        <f t="shared" si="6"/>
        <v>126</v>
      </c>
      <c r="AC11" s="2">
        <v>4.7</v>
      </c>
      <c r="AD11" s="2">
        <v>4.2</v>
      </c>
      <c r="AE11" s="9"/>
      <c r="AF11" s="9"/>
      <c r="AG11" s="9">
        <v>3.15E-2</v>
      </c>
      <c r="AH11" s="9"/>
      <c r="AI11" s="6">
        <f>2*0.75</f>
        <v>1.5</v>
      </c>
      <c r="AJ11" s="6" t="s">
        <v>560</v>
      </c>
      <c r="AK11" s="6"/>
      <c r="AL11" s="6" t="s">
        <v>35</v>
      </c>
      <c r="AM11" s="6" t="s">
        <v>211</v>
      </c>
      <c r="AN11" s="6" t="s">
        <v>563</v>
      </c>
      <c r="AO11" s="51">
        <v>2017</v>
      </c>
      <c r="AP11" s="51" t="s">
        <v>451</v>
      </c>
      <c r="AQ11" s="51" t="s">
        <v>212</v>
      </c>
      <c r="AR11" s="51" t="s">
        <v>194</v>
      </c>
      <c r="AS11" s="34" t="s">
        <v>452</v>
      </c>
      <c r="AT11" s="86">
        <v>6</v>
      </c>
      <c r="AU11" t="s">
        <v>213</v>
      </c>
    </row>
    <row r="12" spans="1:50" s="18" customFormat="1" x14ac:dyDescent="0.45">
      <c r="A12" s="51" t="s">
        <v>178</v>
      </c>
      <c r="B12" s="51" t="s">
        <v>95</v>
      </c>
      <c r="C12" s="51" t="s">
        <v>179</v>
      </c>
      <c r="D12" s="51" t="s">
        <v>111</v>
      </c>
      <c r="E12" s="12">
        <f t="shared" si="1"/>
        <v>258</v>
      </c>
      <c r="F12" s="23">
        <v>3.5000000000000003E-2</v>
      </c>
      <c r="G12" s="23"/>
      <c r="H12" s="23">
        <v>1600</v>
      </c>
      <c r="I12" s="23">
        <v>2500</v>
      </c>
      <c r="J12" s="23">
        <v>550</v>
      </c>
      <c r="K12" s="23">
        <v>1000</v>
      </c>
      <c r="L12" s="25"/>
      <c r="M12" s="25"/>
      <c r="N12" s="25"/>
      <c r="O12" s="25"/>
      <c r="P12" s="25">
        <v>4</v>
      </c>
      <c r="Q12" s="16">
        <v>210</v>
      </c>
      <c r="R12" s="16">
        <v>280</v>
      </c>
      <c r="S12" s="16">
        <v>232</v>
      </c>
      <c r="T12" s="16">
        <v>35.200000000000003</v>
      </c>
      <c r="U12" s="16">
        <v>32</v>
      </c>
      <c r="V12" s="16">
        <f t="shared" si="7"/>
        <v>33.6</v>
      </c>
      <c r="W12" s="52">
        <f t="shared" si="0"/>
        <v>8.4</v>
      </c>
      <c r="X12" s="16">
        <f t="shared" si="2"/>
        <v>70</v>
      </c>
      <c r="Y12" s="16">
        <f t="shared" ref="Y12:Y18" si="8">T12-U12</f>
        <v>3.2000000000000028</v>
      </c>
      <c r="Z12" s="2">
        <v>243</v>
      </c>
      <c r="AA12" s="2">
        <v>273</v>
      </c>
      <c r="AB12" s="2">
        <f>(Z12+AA12)/2</f>
        <v>258</v>
      </c>
      <c r="AC12" s="2">
        <v>5</v>
      </c>
      <c r="AD12" s="2"/>
      <c r="AE12" s="9">
        <v>2.5</v>
      </c>
      <c r="AF12" s="9"/>
      <c r="AG12" s="9"/>
      <c r="AH12" s="9"/>
      <c r="AI12" s="6">
        <f>2.44*0.5</f>
        <v>1.22</v>
      </c>
      <c r="AJ12" s="6"/>
      <c r="AK12" s="6"/>
      <c r="AL12" s="6" t="s">
        <v>25</v>
      </c>
      <c r="AM12" s="6"/>
      <c r="AN12" s="6" t="s">
        <v>565</v>
      </c>
      <c r="AO12" s="51">
        <v>2016</v>
      </c>
      <c r="AP12" s="51" t="s">
        <v>453</v>
      </c>
      <c r="AQ12" s="51" t="s">
        <v>215</v>
      </c>
      <c r="AR12" s="51" t="s">
        <v>216</v>
      </c>
      <c r="AS12" s="34" t="s">
        <v>454</v>
      </c>
      <c r="AT12" s="86">
        <v>7</v>
      </c>
      <c r="AU12" t="s">
        <v>217</v>
      </c>
    </row>
    <row r="13" spans="1:50" s="18" customFormat="1" x14ac:dyDescent="0.45">
      <c r="A13" s="51" t="s">
        <v>178</v>
      </c>
      <c r="B13" s="51" t="s">
        <v>95</v>
      </c>
      <c r="C13" s="51" t="s">
        <v>179</v>
      </c>
      <c r="D13" s="51" t="s">
        <v>97</v>
      </c>
      <c r="E13" s="12">
        <f t="shared" si="1"/>
        <v>183</v>
      </c>
      <c r="F13" s="23">
        <v>0.05</v>
      </c>
      <c r="G13" s="23">
        <v>10</v>
      </c>
      <c r="H13" s="23">
        <v>1300</v>
      </c>
      <c r="I13" s="23">
        <v>2100</v>
      </c>
      <c r="J13" s="23">
        <v>370</v>
      </c>
      <c r="K13" s="23">
        <v>670</v>
      </c>
      <c r="L13" s="25"/>
      <c r="M13" s="25">
        <v>2</v>
      </c>
      <c r="N13" s="25">
        <v>1</v>
      </c>
      <c r="O13" s="25">
        <f t="shared" si="4"/>
        <v>20</v>
      </c>
      <c r="P13" s="25">
        <v>5</v>
      </c>
      <c r="Q13" s="16">
        <v>160</v>
      </c>
      <c r="R13" s="16">
        <v>200</v>
      </c>
      <c r="S13" s="16"/>
      <c r="T13" s="16">
        <v>26.5</v>
      </c>
      <c r="U13" s="16">
        <v>22.5</v>
      </c>
      <c r="V13" s="16">
        <f t="shared" si="7"/>
        <v>24.5</v>
      </c>
      <c r="W13" s="52">
        <f t="shared" si="0"/>
        <v>4.9000000000000004</v>
      </c>
      <c r="X13" s="16">
        <f t="shared" si="2"/>
        <v>40</v>
      </c>
      <c r="Y13" s="16">
        <f t="shared" si="8"/>
        <v>4</v>
      </c>
      <c r="Z13" s="2">
        <v>178</v>
      </c>
      <c r="AA13" s="2">
        <v>185</v>
      </c>
      <c r="AB13" s="2">
        <v>183</v>
      </c>
      <c r="AC13" s="2">
        <v>3.5</v>
      </c>
      <c r="AD13" s="2"/>
      <c r="AE13" s="9"/>
      <c r="AF13" s="9"/>
      <c r="AG13" s="9">
        <v>2.4E-2</v>
      </c>
      <c r="AH13" s="9"/>
      <c r="AI13" s="6">
        <f>1*2</f>
        <v>2</v>
      </c>
      <c r="AJ13" s="6"/>
      <c r="AK13" s="6"/>
      <c r="AL13" s="6" t="s">
        <v>35</v>
      </c>
      <c r="AM13" s="6" t="s">
        <v>211</v>
      </c>
      <c r="AN13" s="6" t="s">
        <v>564</v>
      </c>
      <c r="AO13" s="51">
        <v>2015</v>
      </c>
      <c r="AP13" s="51" t="s">
        <v>455</v>
      </c>
      <c r="AQ13" s="51" t="s">
        <v>443</v>
      </c>
      <c r="AR13" s="51" t="s">
        <v>218</v>
      </c>
      <c r="AS13" s="34" t="s">
        <v>456</v>
      </c>
      <c r="AT13" s="86">
        <v>8</v>
      </c>
      <c r="AU13" t="s">
        <v>219</v>
      </c>
    </row>
    <row r="14" spans="1:50" s="18" customFormat="1" x14ac:dyDescent="0.45">
      <c r="A14" s="51" t="s">
        <v>178</v>
      </c>
      <c r="B14" s="51" t="s">
        <v>95</v>
      </c>
      <c r="C14" s="51" t="s">
        <v>179</v>
      </c>
      <c r="D14" s="51" t="s">
        <v>111</v>
      </c>
      <c r="E14" s="12">
        <f t="shared" si="1"/>
        <v>325</v>
      </c>
      <c r="F14" s="23">
        <v>3.5000000000000003E-2</v>
      </c>
      <c r="G14" s="23">
        <v>15</v>
      </c>
      <c r="H14" s="23"/>
      <c r="I14" s="23">
        <v>2800</v>
      </c>
      <c r="J14" s="23">
        <v>515</v>
      </c>
      <c r="K14" s="23">
        <v>900</v>
      </c>
      <c r="L14" s="25"/>
      <c r="M14" s="25">
        <v>2</v>
      </c>
      <c r="N14" s="25">
        <v>1</v>
      </c>
      <c r="O14" s="25">
        <f t="shared" si="4"/>
        <v>30</v>
      </c>
      <c r="P14" s="25">
        <v>7</v>
      </c>
      <c r="Q14" s="16">
        <v>294</v>
      </c>
      <c r="R14" s="16">
        <v>344</v>
      </c>
      <c r="S14" s="16">
        <v>302</v>
      </c>
      <c r="T14" s="16">
        <v>26</v>
      </c>
      <c r="U14" s="16">
        <v>23</v>
      </c>
      <c r="V14" s="16">
        <f t="shared" si="7"/>
        <v>24.5</v>
      </c>
      <c r="W14" s="52">
        <f t="shared" si="0"/>
        <v>3.5</v>
      </c>
      <c r="X14" s="16">
        <f t="shared" si="2"/>
        <v>50</v>
      </c>
      <c r="Y14" s="16">
        <f t="shared" si="8"/>
        <v>3</v>
      </c>
      <c r="Z14" s="2"/>
      <c r="AA14" s="2"/>
      <c r="AB14" s="2">
        <v>325</v>
      </c>
      <c r="AC14" s="2">
        <v>7.1</v>
      </c>
      <c r="AD14" s="2"/>
      <c r="AE14" s="9"/>
      <c r="AF14" s="9"/>
      <c r="AG14" s="9"/>
      <c r="AH14" s="9"/>
      <c r="AI14" s="6">
        <f>1.25*0.5</f>
        <v>0.625</v>
      </c>
      <c r="AJ14" s="6"/>
      <c r="AK14" s="6"/>
      <c r="AL14" s="6" t="s">
        <v>35</v>
      </c>
      <c r="AM14" s="6" t="s">
        <v>211</v>
      </c>
      <c r="AN14" s="6" t="s">
        <v>566</v>
      </c>
      <c r="AO14" s="51">
        <v>2014</v>
      </c>
      <c r="AP14" s="51" t="s">
        <v>457</v>
      </c>
      <c r="AQ14" s="51" t="s">
        <v>220</v>
      </c>
      <c r="AR14" s="51" t="s">
        <v>221</v>
      </c>
      <c r="AS14" s="12" t="s">
        <v>397</v>
      </c>
      <c r="AT14" s="86">
        <v>9</v>
      </c>
      <c r="AU14" t="s">
        <v>222</v>
      </c>
    </row>
    <row r="15" spans="1:50" s="18" customFormat="1" x14ac:dyDescent="0.45">
      <c r="A15" s="51" t="s">
        <v>178</v>
      </c>
      <c r="B15" s="51" t="s">
        <v>95</v>
      </c>
      <c r="C15" s="51" t="s">
        <v>179</v>
      </c>
      <c r="D15" s="51" t="s">
        <v>111</v>
      </c>
      <c r="E15" s="12">
        <f t="shared" si="1"/>
        <v>325</v>
      </c>
      <c r="F15" s="23">
        <v>3.5000000000000003E-2</v>
      </c>
      <c r="G15" s="23">
        <v>15</v>
      </c>
      <c r="H15" s="23"/>
      <c r="I15" s="23">
        <v>2800</v>
      </c>
      <c r="J15" s="23">
        <v>515</v>
      </c>
      <c r="K15" s="23">
        <v>900</v>
      </c>
      <c r="L15" s="25">
        <v>1.4</v>
      </c>
      <c r="M15" s="25">
        <v>1</v>
      </c>
      <c r="N15" s="25">
        <v>1</v>
      </c>
      <c r="O15" s="25">
        <f t="shared" si="4"/>
        <v>15</v>
      </c>
      <c r="P15" s="25">
        <v>5</v>
      </c>
      <c r="Q15" s="16">
        <v>301</v>
      </c>
      <c r="R15" s="16">
        <v>314</v>
      </c>
      <c r="S15" s="16">
        <v>310</v>
      </c>
      <c r="T15" s="16">
        <v>36</v>
      </c>
      <c r="U15" s="16">
        <v>33</v>
      </c>
      <c r="V15" s="16">
        <f t="shared" si="7"/>
        <v>34.5</v>
      </c>
      <c r="W15" s="52">
        <f t="shared" si="0"/>
        <v>6.9</v>
      </c>
      <c r="X15" s="16">
        <f t="shared" si="2"/>
        <v>13</v>
      </c>
      <c r="Y15" s="16">
        <f t="shared" si="8"/>
        <v>3</v>
      </c>
      <c r="Z15" s="2"/>
      <c r="AA15" s="2"/>
      <c r="AB15" s="2">
        <v>325</v>
      </c>
      <c r="AC15" s="2">
        <v>5.9</v>
      </c>
      <c r="AD15" s="2"/>
      <c r="AE15" s="9"/>
      <c r="AF15" s="9"/>
      <c r="AG15" s="9"/>
      <c r="AH15" s="9"/>
      <c r="AI15" s="6">
        <f>1.25*0.5</f>
        <v>0.625</v>
      </c>
      <c r="AJ15" s="6"/>
      <c r="AK15" s="6"/>
      <c r="AL15" s="6" t="s">
        <v>35</v>
      </c>
      <c r="AM15" s="6" t="s">
        <v>146</v>
      </c>
      <c r="AN15" s="6" t="s">
        <v>566</v>
      </c>
      <c r="AO15" s="51">
        <v>2014</v>
      </c>
      <c r="AP15" s="51" t="s">
        <v>457</v>
      </c>
      <c r="AQ15" s="51" t="s">
        <v>220</v>
      </c>
      <c r="AR15" s="51" t="s">
        <v>221</v>
      </c>
      <c r="AS15" s="12" t="s">
        <v>397</v>
      </c>
      <c r="AT15" s="86">
        <v>9</v>
      </c>
      <c r="AU15" t="s">
        <v>222</v>
      </c>
    </row>
    <row r="16" spans="1:50" s="18" customFormat="1" x14ac:dyDescent="0.45">
      <c r="A16" s="51" t="s">
        <v>178</v>
      </c>
      <c r="B16" s="51" t="s">
        <v>95</v>
      </c>
      <c r="C16" s="51" t="s">
        <v>179</v>
      </c>
      <c r="D16" s="51" t="s">
        <v>590</v>
      </c>
      <c r="E16" s="12">
        <f t="shared" si="1"/>
        <v>550</v>
      </c>
      <c r="F16" s="23">
        <v>0.02</v>
      </c>
      <c r="G16" s="23">
        <v>5</v>
      </c>
      <c r="H16" s="23"/>
      <c r="I16" s="23"/>
      <c r="J16" s="23"/>
      <c r="K16" s="23">
        <v>1130</v>
      </c>
      <c r="L16" s="25"/>
      <c r="M16" s="25">
        <v>2</v>
      </c>
      <c r="N16" s="25">
        <v>1</v>
      </c>
      <c r="O16" s="25">
        <f t="shared" si="4"/>
        <v>10</v>
      </c>
      <c r="P16" s="25">
        <v>8</v>
      </c>
      <c r="Q16" s="16">
        <v>500</v>
      </c>
      <c r="R16" s="16">
        <v>635</v>
      </c>
      <c r="S16" s="16">
        <v>550</v>
      </c>
      <c r="T16" s="16">
        <v>23</v>
      </c>
      <c r="U16" s="16">
        <v>15</v>
      </c>
      <c r="V16" s="16">
        <f t="shared" si="7"/>
        <v>19</v>
      </c>
      <c r="W16" s="52">
        <f t="shared" si="0"/>
        <v>2.375</v>
      </c>
      <c r="X16" s="16">
        <f t="shared" si="2"/>
        <v>135</v>
      </c>
      <c r="Y16" s="16">
        <f t="shared" si="8"/>
        <v>8</v>
      </c>
      <c r="Z16" s="2"/>
      <c r="AA16" s="2"/>
      <c r="AB16" s="2">
        <v>550</v>
      </c>
      <c r="AC16" s="2"/>
      <c r="AD16" s="2"/>
      <c r="AE16" s="9"/>
      <c r="AF16" s="9"/>
      <c r="AG16" s="9"/>
      <c r="AH16" s="9"/>
      <c r="AI16" s="6">
        <f>0.34*0.67</f>
        <v>0.22780000000000003</v>
      </c>
      <c r="AJ16" s="6" t="s">
        <v>568</v>
      </c>
      <c r="AK16" s="6"/>
      <c r="AL16" s="6" t="s">
        <v>35</v>
      </c>
      <c r="AM16" s="6" t="s">
        <v>211</v>
      </c>
      <c r="AN16" s="53" t="s">
        <v>567</v>
      </c>
      <c r="AO16" s="51">
        <v>2014</v>
      </c>
      <c r="AP16" s="51" t="s">
        <v>458</v>
      </c>
      <c r="AQ16" s="51" t="s">
        <v>223</v>
      </c>
      <c r="AR16" s="51" t="s">
        <v>224</v>
      </c>
      <c r="AS16" s="34" t="s">
        <v>459</v>
      </c>
      <c r="AT16" s="86">
        <v>10</v>
      </c>
      <c r="AU16" t="s">
        <v>70</v>
      </c>
    </row>
    <row r="17" spans="1:50" s="18" customFormat="1" x14ac:dyDescent="0.45">
      <c r="A17" s="51" t="s">
        <v>178</v>
      </c>
      <c r="B17" s="51" t="s">
        <v>95</v>
      </c>
      <c r="C17" s="51" t="s">
        <v>179</v>
      </c>
      <c r="D17" s="51" t="s">
        <v>590</v>
      </c>
      <c r="E17" s="12">
        <f t="shared" si="1"/>
        <v>600</v>
      </c>
      <c r="F17" s="23">
        <v>0.02</v>
      </c>
      <c r="G17" s="23">
        <v>4</v>
      </c>
      <c r="H17" s="23">
        <v>1400</v>
      </c>
      <c r="I17" s="23">
        <v>2500</v>
      </c>
      <c r="J17" s="23">
        <v>660</v>
      </c>
      <c r="K17" s="23">
        <v>1000</v>
      </c>
      <c r="L17" s="25"/>
      <c r="M17" s="25">
        <v>2</v>
      </c>
      <c r="N17" s="25">
        <v>1</v>
      </c>
      <c r="O17" s="25">
        <f t="shared" si="4"/>
        <v>8</v>
      </c>
      <c r="P17" s="25">
        <v>6</v>
      </c>
      <c r="Q17" s="16">
        <v>555</v>
      </c>
      <c r="R17" s="16">
        <v>619</v>
      </c>
      <c r="S17" s="16">
        <v>576</v>
      </c>
      <c r="T17" s="16">
        <v>15.4</v>
      </c>
      <c r="U17" s="16">
        <v>10</v>
      </c>
      <c r="V17" s="16">
        <f t="shared" si="7"/>
        <v>12.7</v>
      </c>
      <c r="W17" s="52">
        <f t="shared" si="0"/>
        <v>2.1166666666666667</v>
      </c>
      <c r="X17" s="16">
        <f t="shared" si="2"/>
        <v>64</v>
      </c>
      <c r="Y17" s="16">
        <f t="shared" si="8"/>
        <v>5.4</v>
      </c>
      <c r="Z17" s="2"/>
      <c r="AA17" s="2"/>
      <c r="AB17" s="2">
        <v>600</v>
      </c>
      <c r="AC17" s="2">
        <v>10.7</v>
      </c>
      <c r="AD17" s="2"/>
      <c r="AE17" s="9"/>
      <c r="AF17" s="9"/>
      <c r="AG17" s="9"/>
      <c r="AH17" s="9"/>
      <c r="AI17" s="6">
        <f>0.28*0.5</f>
        <v>0.14000000000000001</v>
      </c>
      <c r="AJ17" s="6"/>
      <c r="AK17" s="6"/>
      <c r="AL17" s="6" t="s">
        <v>35</v>
      </c>
      <c r="AM17" s="6" t="s">
        <v>211</v>
      </c>
      <c r="AN17" s="6" t="s">
        <v>569</v>
      </c>
      <c r="AO17" s="51">
        <v>2014</v>
      </c>
      <c r="AP17" s="51" t="s">
        <v>364</v>
      </c>
      <c r="AQ17" s="51" t="s">
        <v>225</v>
      </c>
      <c r="AR17" s="51" t="s">
        <v>205</v>
      </c>
      <c r="AS17" s="34" t="s">
        <v>460</v>
      </c>
      <c r="AT17" s="86">
        <v>11</v>
      </c>
      <c r="AU17" t="s">
        <v>75</v>
      </c>
    </row>
    <row r="18" spans="1:50" s="18" customFormat="1" x14ac:dyDescent="0.45">
      <c r="A18" s="51" t="s">
        <v>178</v>
      </c>
      <c r="B18" s="51" t="s">
        <v>95</v>
      </c>
      <c r="C18" s="51" t="s">
        <v>179</v>
      </c>
      <c r="D18" s="51" t="s">
        <v>590</v>
      </c>
      <c r="E18" s="12">
        <f t="shared" si="1"/>
        <v>595.5</v>
      </c>
      <c r="F18" s="23">
        <v>0.02</v>
      </c>
      <c r="G18" s="23">
        <v>4</v>
      </c>
      <c r="H18" s="23">
        <v>1400</v>
      </c>
      <c r="I18" s="23">
        <v>2500</v>
      </c>
      <c r="J18" s="23">
        <v>660</v>
      </c>
      <c r="K18" s="23">
        <v>1000</v>
      </c>
      <c r="L18" s="25"/>
      <c r="M18" s="25">
        <v>2</v>
      </c>
      <c r="N18" s="25">
        <v>1</v>
      </c>
      <c r="O18" s="25">
        <f t="shared" si="4"/>
        <v>8</v>
      </c>
      <c r="P18" s="25">
        <v>6</v>
      </c>
      <c r="Q18" s="16">
        <v>564</v>
      </c>
      <c r="R18" s="16">
        <v>636</v>
      </c>
      <c r="S18" s="16">
        <v>600</v>
      </c>
      <c r="T18" s="16">
        <v>14.1</v>
      </c>
      <c r="U18" s="16">
        <v>10</v>
      </c>
      <c r="V18" s="55">
        <f t="shared" si="7"/>
        <v>12.05</v>
      </c>
      <c r="W18" s="52">
        <f t="shared" si="0"/>
        <v>2.0083333333333333</v>
      </c>
      <c r="X18" s="16">
        <f t="shared" si="2"/>
        <v>72</v>
      </c>
      <c r="Y18" s="16">
        <f t="shared" si="8"/>
        <v>4.0999999999999996</v>
      </c>
      <c r="Z18" s="2">
        <v>583</v>
      </c>
      <c r="AA18" s="2">
        <v>608</v>
      </c>
      <c r="AB18" s="2">
        <f>(Z18+AA18)/2</f>
        <v>595.5</v>
      </c>
      <c r="AC18" s="2">
        <v>15</v>
      </c>
      <c r="AD18" s="2"/>
      <c r="AE18" s="9"/>
      <c r="AF18" s="9"/>
      <c r="AG18" s="9"/>
      <c r="AH18" s="9"/>
      <c r="AI18" s="6">
        <f>0.28*0.5</f>
        <v>0.14000000000000001</v>
      </c>
      <c r="AJ18" s="6"/>
      <c r="AK18" s="6"/>
      <c r="AL18" s="6" t="s">
        <v>203</v>
      </c>
      <c r="AM18" s="6" t="s">
        <v>211</v>
      </c>
      <c r="AN18" s="6" t="s">
        <v>569</v>
      </c>
      <c r="AO18" s="51">
        <v>2014</v>
      </c>
      <c r="AP18" s="51" t="s">
        <v>364</v>
      </c>
      <c r="AQ18" s="51" t="s">
        <v>225</v>
      </c>
      <c r="AR18" s="51" t="s">
        <v>205</v>
      </c>
      <c r="AS18" s="34" t="s">
        <v>460</v>
      </c>
      <c r="AT18" s="86">
        <v>11</v>
      </c>
      <c r="AU18" t="s">
        <v>75</v>
      </c>
    </row>
    <row r="19" spans="1:50" s="18" customFormat="1" x14ac:dyDescent="0.45">
      <c r="A19" s="51" t="s">
        <v>178</v>
      </c>
      <c r="B19" s="51" t="s">
        <v>95</v>
      </c>
      <c r="C19" s="51" t="s">
        <v>179</v>
      </c>
      <c r="D19" s="51" t="s">
        <v>61</v>
      </c>
      <c r="E19" s="12">
        <f>AB19</f>
        <v>90</v>
      </c>
      <c r="F19" s="23">
        <v>0.05</v>
      </c>
      <c r="G19" s="23">
        <v>10</v>
      </c>
      <c r="H19" s="23">
        <v>1200</v>
      </c>
      <c r="I19" s="23">
        <v>1800</v>
      </c>
      <c r="J19" s="23">
        <v>375</v>
      </c>
      <c r="K19" s="23">
        <v>670</v>
      </c>
      <c r="L19" s="25">
        <v>0.6</v>
      </c>
      <c r="M19" s="25">
        <v>2</v>
      </c>
      <c r="N19" s="25">
        <v>1</v>
      </c>
      <c r="O19" s="25">
        <f t="shared" si="4"/>
        <v>20</v>
      </c>
      <c r="P19" s="25">
        <v>3</v>
      </c>
      <c r="Q19" s="16">
        <v>57</v>
      </c>
      <c r="R19" s="16">
        <v>110</v>
      </c>
      <c r="S19" s="16"/>
      <c r="T19" s="16">
        <v>23.2</v>
      </c>
      <c r="U19" s="16">
        <v>16.399999999999999</v>
      </c>
      <c r="V19" s="55">
        <f>(T19+U19)/2</f>
        <v>19.799999999999997</v>
      </c>
      <c r="W19" s="52">
        <f t="shared" si="0"/>
        <v>6.5999999999999988</v>
      </c>
      <c r="X19" s="16">
        <f t="shared" ref="X19:X30" si="9">R19-Q19</f>
        <v>53</v>
      </c>
      <c r="Y19" s="16">
        <f t="shared" ref="Y19:Y32" si="10">T19-U19</f>
        <v>6.8000000000000007</v>
      </c>
      <c r="Z19" s="2">
        <v>75</v>
      </c>
      <c r="AA19" s="2">
        <v>110</v>
      </c>
      <c r="AB19" s="2">
        <v>90</v>
      </c>
      <c r="AC19" s="2">
        <f>(2.1+2.8)/2</f>
        <v>2.4500000000000002</v>
      </c>
      <c r="AD19" s="2">
        <v>2.1</v>
      </c>
      <c r="AE19" s="9">
        <v>20.5</v>
      </c>
      <c r="AF19" s="33">
        <f>POWER(10,AE19/10)</f>
        <v>112.20184543019634</v>
      </c>
      <c r="AG19" s="9">
        <v>1.44E-2</v>
      </c>
      <c r="AH19" s="9"/>
      <c r="AI19" s="6">
        <f>1*1.75</f>
        <v>1.75</v>
      </c>
      <c r="AJ19" s="6"/>
      <c r="AK19" s="6" t="s">
        <v>272</v>
      </c>
      <c r="AL19" s="6" t="s">
        <v>35</v>
      </c>
      <c r="AM19" s="6" t="s">
        <v>211</v>
      </c>
      <c r="AN19" s="6" t="s">
        <v>570</v>
      </c>
      <c r="AO19" s="51">
        <v>2013</v>
      </c>
      <c r="AP19" s="51" t="s">
        <v>461</v>
      </c>
      <c r="AQ19" s="51" t="s">
        <v>228</v>
      </c>
      <c r="AR19" s="51" t="s">
        <v>200</v>
      </c>
      <c r="AS19" s="34" t="s">
        <v>462</v>
      </c>
      <c r="AT19" s="86">
        <v>12</v>
      </c>
      <c r="AU19" t="s">
        <v>229</v>
      </c>
    </row>
    <row r="20" spans="1:50" s="18" customFormat="1" x14ac:dyDescent="0.45">
      <c r="A20" s="51" t="s">
        <v>178</v>
      </c>
      <c r="B20" s="51" t="s">
        <v>95</v>
      </c>
      <c r="C20" s="51" t="s">
        <v>179</v>
      </c>
      <c r="D20" s="51" t="s">
        <v>61</v>
      </c>
      <c r="E20" s="12">
        <f>AB20</f>
        <v>90</v>
      </c>
      <c r="F20" s="23">
        <v>0.05</v>
      </c>
      <c r="G20" s="23">
        <v>5</v>
      </c>
      <c r="H20" s="23">
        <v>1200</v>
      </c>
      <c r="I20" s="23">
        <v>1800</v>
      </c>
      <c r="J20" s="23">
        <v>375</v>
      </c>
      <c r="K20" s="23">
        <v>670</v>
      </c>
      <c r="L20" s="25">
        <v>0.6</v>
      </c>
      <c r="M20" s="25">
        <v>2</v>
      </c>
      <c r="N20" s="25">
        <v>1</v>
      </c>
      <c r="O20" s="25">
        <f t="shared" si="4"/>
        <v>10</v>
      </c>
      <c r="P20" s="25">
        <v>3</v>
      </c>
      <c r="Q20" s="16">
        <v>74</v>
      </c>
      <c r="R20" s="16">
        <v>110</v>
      </c>
      <c r="S20" s="16"/>
      <c r="T20" s="16">
        <v>18.5</v>
      </c>
      <c r="U20" s="16">
        <v>14.5</v>
      </c>
      <c r="V20" s="55">
        <f>(T20+U20)/2</f>
        <v>16.5</v>
      </c>
      <c r="W20" s="52">
        <f t="shared" si="0"/>
        <v>5.5</v>
      </c>
      <c r="X20" s="16">
        <f t="shared" si="9"/>
        <v>36</v>
      </c>
      <c r="Y20" s="16">
        <f t="shared" si="10"/>
        <v>4</v>
      </c>
      <c r="Z20" s="2">
        <v>80</v>
      </c>
      <c r="AA20" s="2">
        <v>110</v>
      </c>
      <c r="AB20" s="2">
        <v>90</v>
      </c>
      <c r="AC20" s="2">
        <f>(2.8+3.3)/2</f>
        <v>3.05</v>
      </c>
      <c r="AD20" s="2">
        <v>2.8</v>
      </c>
      <c r="AE20" s="9">
        <v>20.5</v>
      </c>
      <c r="AF20" s="33">
        <f>POWER(10,AE20/10)</f>
        <v>112.20184543019634</v>
      </c>
      <c r="AG20" s="9">
        <v>7.1999999999999998E-3</v>
      </c>
      <c r="AH20" s="9"/>
      <c r="AI20" s="6"/>
      <c r="AJ20" s="6"/>
      <c r="AK20" s="6" t="s">
        <v>273</v>
      </c>
      <c r="AL20" s="6" t="s">
        <v>35</v>
      </c>
      <c r="AM20" s="6" t="s">
        <v>211</v>
      </c>
      <c r="AN20" s="6" t="s">
        <v>570</v>
      </c>
      <c r="AO20" s="51">
        <v>2013</v>
      </c>
      <c r="AP20" s="51" t="s">
        <v>461</v>
      </c>
      <c r="AQ20" s="51" t="s">
        <v>228</v>
      </c>
      <c r="AR20" s="51" t="s">
        <v>200</v>
      </c>
      <c r="AS20" s="34" t="s">
        <v>462</v>
      </c>
      <c r="AT20" s="86">
        <v>12</v>
      </c>
      <c r="AU20" t="s">
        <v>229</v>
      </c>
    </row>
    <row r="21" spans="1:50" s="18" customFormat="1" x14ac:dyDescent="0.45">
      <c r="A21" s="51" t="s">
        <v>178</v>
      </c>
      <c r="B21" s="51" t="s">
        <v>95</v>
      </c>
      <c r="C21" s="51" t="s">
        <v>179</v>
      </c>
      <c r="D21" s="51" t="s">
        <v>111</v>
      </c>
      <c r="E21" s="12">
        <f>AB21</f>
        <v>243</v>
      </c>
      <c r="F21" s="23">
        <v>0.05</v>
      </c>
      <c r="G21" s="23">
        <v>10</v>
      </c>
      <c r="H21" s="23">
        <v>1300</v>
      </c>
      <c r="I21" s="23">
        <v>2100</v>
      </c>
      <c r="J21" s="23">
        <v>370</v>
      </c>
      <c r="K21" s="23">
        <v>670</v>
      </c>
      <c r="L21" s="25">
        <v>1.6</v>
      </c>
      <c r="M21" s="25">
        <v>2</v>
      </c>
      <c r="N21" s="25">
        <v>1</v>
      </c>
      <c r="O21" s="25">
        <f t="shared" si="4"/>
        <v>20</v>
      </c>
      <c r="P21" s="25">
        <v>4</v>
      </c>
      <c r="Q21" s="16">
        <v>218</v>
      </c>
      <c r="R21" s="16">
        <v>280</v>
      </c>
      <c r="S21" s="16">
        <v>243</v>
      </c>
      <c r="T21" s="16">
        <v>31</v>
      </c>
      <c r="U21" s="16">
        <v>28</v>
      </c>
      <c r="V21" s="16">
        <f>(T21+U21)/2</f>
        <v>29.5</v>
      </c>
      <c r="W21" s="52">
        <f t="shared" si="0"/>
        <v>7.375</v>
      </c>
      <c r="X21" s="16">
        <f t="shared" si="9"/>
        <v>62</v>
      </c>
      <c r="Y21" s="16">
        <f t="shared" si="10"/>
        <v>3</v>
      </c>
      <c r="Z21" s="2">
        <v>210</v>
      </c>
      <c r="AA21" s="2">
        <v>300</v>
      </c>
      <c r="AB21" s="2">
        <v>243</v>
      </c>
      <c r="AC21" s="2">
        <v>5.0999999999999996</v>
      </c>
      <c r="AD21" s="2"/>
      <c r="AE21" s="9"/>
      <c r="AF21" s="9"/>
      <c r="AG21" s="9"/>
      <c r="AH21" s="9"/>
      <c r="AI21" s="6">
        <f>0.5*1.5</f>
        <v>0.75</v>
      </c>
      <c r="AJ21" s="6"/>
      <c r="AK21" s="6"/>
      <c r="AL21" s="6" t="s">
        <v>35</v>
      </c>
      <c r="AM21" s="6" t="s">
        <v>146</v>
      </c>
      <c r="AN21" s="6" t="s">
        <v>571</v>
      </c>
      <c r="AO21" s="51">
        <v>2013</v>
      </c>
      <c r="AP21" s="51" t="s">
        <v>463</v>
      </c>
      <c r="AQ21" s="51" t="s">
        <v>233</v>
      </c>
      <c r="AR21" s="51" t="s">
        <v>205</v>
      </c>
      <c r="AS21" s="12" t="s">
        <v>397</v>
      </c>
      <c r="AT21" s="86">
        <v>13</v>
      </c>
      <c r="AU21" t="s">
        <v>167</v>
      </c>
    </row>
    <row r="22" spans="1:50" s="18" customFormat="1" x14ac:dyDescent="0.45">
      <c r="A22" s="51" t="s">
        <v>178</v>
      </c>
      <c r="B22" s="51" t="s">
        <v>95</v>
      </c>
      <c r="C22" s="51" t="s">
        <v>179</v>
      </c>
      <c r="D22" s="51" t="s">
        <v>111</v>
      </c>
      <c r="E22" s="12">
        <f>AB22</f>
        <v>243</v>
      </c>
      <c r="F22" s="23">
        <v>0.05</v>
      </c>
      <c r="G22" s="23">
        <v>10</v>
      </c>
      <c r="H22" s="23">
        <v>1300</v>
      </c>
      <c r="I22" s="23">
        <v>2100</v>
      </c>
      <c r="J22" s="23">
        <v>370</v>
      </c>
      <c r="K22" s="23">
        <v>670</v>
      </c>
      <c r="L22" s="25"/>
      <c r="M22" s="25">
        <v>2</v>
      </c>
      <c r="N22" s="25">
        <v>1</v>
      </c>
      <c r="O22" s="25">
        <f t="shared" si="4"/>
        <v>20</v>
      </c>
      <c r="P22" s="25">
        <v>4</v>
      </c>
      <c r="Q22" s="16">
        <v>217</v>
      </c>
      <c r="R22" s="16">
        <v>285</v>
      </c>
      <c r="S22" s="16">
        <v>243</v>
      </c>
      <c r="T22" s="16">
        <v>30.6</v>
      </c>
      <c r="U22" s="16">
        <v>28</v>
      </c>
      <c r="V22" s="16">
        <f>(T22+U22)/2</f>
        <v>29.3</v>
      </c>
      <c r="W22" s="52">
        <f t="shared" si="0"/>
        <v>7.3250000000000002</v>
      </c>
      <c r="X22" s="16">
        <f t="shared" si="9"/>
        <v>68</v>
      </c>
      <c r="Y22" s="16">
        <f t="shared" si="10"/>
        <v>2.6000000000000014</v>
      </c>
      <c r="Z22" s="2">
        <v>210</v>
      </c>
      <c r="AA22" s="2">
        <v>300</v>
      </c>
      <c r="AB22" s="2">
        <v>243</v>
      </c>
      <c r="AC22" s="2">
        <v>5.6</v>
      </c>
      <c r="AD22" s="2"/>
      <c r="AE22" s="9">
        <v>0.7</v>
      </c>
      <c r="AF22" s="33">
        <f>POWER(10,AE22/10)</f>
        <v>1.1748975549395295</v>
      </c>
      <c r="AG22" s="9"/>
      <c r="AH22" s="9"/>
      <c r="AI22" s="6">
        <f>2.44*0.5</f>
        <v>1.22</v>
      </c>
      <c r="AJ22" s="6"/>
      <c r="AK22" s="6"/>
      <c r="AL22" s="6" t="s">
        <v>203</v>
      </c>
      <c r="AM22" s="6" t="s">
        <v>146</v>
      </c>
      <c r="AN22" s="6" t="s">
        <v>571</v>
      </c>
      <c r="AO22" s="51">
        <v>2013</v>
      </c>
      <c r="AP22" s="51" t="s">
        <v>463</v>
      </c>
      <c r="AQ22" s="51" t="s">
        <v>233</v>
      </c>
      <c r="AR22" s="51" t="s">
        <v>205</v>
      </c>
      <c r="AS22" s="12" t="s">
        <v>397</v>
      </c>
      <c r="AT22" s="86">
        <v>13</v>
      </c>
      <c r="AU22" t="s">
        <v>167</v>
      </c>
    </row>
    <row r="23" spans="1:50" s="18" customFormat="1" x14ac:dyDescent="0.45">
      <c r="A23" s="51" t="s">
        <v>186</v>
      </c>
      <c r="B23" s="51" t="s">
        <v>95</v>
      </c>
      <c r="C23" s="51" t="s">
        <v>179</v>
      </c>
      <c r="D23" s="74" t="s">
        <v>111</v>
      </c>
      <c r="E23" s="12">
        <f>AB23</f>
        <v>260</v>
      </c>
      <c r="F23" s="23">
        <v>3.5000000000000003E-2</v>
      </c>
      <c r="G23" s="23">
        <v>10</v>
      </c>
      <c r="H23" s="23">
        <v>1600</v>
      </c>
      <c r="I23" s="23">
        <v>2500</v>
      </c>
      <c r="J23" s="23">
        <v>515</v>
      </c>
      <c r="K23" s="23">
        <v>1000</v>
      </c>
      <c r="L23" s="25">
        <v>1.4</v>
      </c>
      <c r="M23" s="25">
        <v>2</v>
      </c>
      <c r="N23" s="25">
        <v>1</v>
      </c>
      <c r="O23" s="25">
        <f t="shared" si="4"/>
        <v>20</v>
      </c>
      <c r="P23" s="25">
        <v>3</v>
      </c>
      <c r="Q23" s="16">
        <v>220</v>
      </c>
      <c r="R23" s="16">
        <v>300</v>
      </c>
      <c r="S23" s="16"/>
      <c r="T23" s="16">
        <v>25</v>
      </c>
      <c r="U23" s="16">
        <v>20</v>
      </c>
      <c r="V23" s="16">
        <f>(T23+U23)/2</f>
        <v>22.5</v>
      </c>
      <c r="W23" s="52">
        <f t="shared" si="0"/>
        <v>7.5</v>
      </c>
      <c r="X23" s="16">
        <f t="shared" si="9"/>
        <v>80</v>
      </c>
      <c r="Y23" s="16">
        <f t="shared" si="10"/>
        <v>5</v>
      </c>
      <c r="Z23" s="2">
        <v>220</v>
      </c>
      <c r="AA23" s="2">
        <v>300</v>
      </c>
      <c r="AB23" s="2">
        <f>SUM(Z23:AA23)/2</f>
        <v>260</v>
      </c>
      <c r="AC23" s="2">
        <v>6.1</v>
      </c>
      <c r="AD23" s="2">
        <v>5.2</v>
      </c>
      <c r="AE23" s="9"/>
      <c r="AF23" s="9"/>
      <c r="AG23" s="9"/>
      <c r="AH23" s="9"/>
      <c r="AI23" s="6">
        <f>0.28*0.55</f>
        <v>0.15400000000000003</v>
      </c>
      <c r="AJ23" s="6"/>
      <c r="AK23" s="6"/>
      <c r="AL23" s="6" t="s">
        <v>25</v>
      </c>
      <c r="AM23" s="6" t="s">
        <v>146</v>
      </c>
      <c r="AN23" s="6" t="s">
        <v>572</v>
      </c>
      <c r="AO23" s="51">
        <v>2013</v>
      </c>
      <c r="AP23" s="51" t="s">
        <v>464</v>
      </c>
      <c r="AQ23" s="51" t="s">
        <v>238</v>
      </c>
      <c r="AR23" s="51" t="s">
        <v>239</v>
      </c>
      <c r="AS23" s="34" t="s">
        <v>465</v>
      </c>
      <c r="AT23" s="86">
        <v>14</v>
      </c>
      <c r="AU23" t="s">
        <v>127</v>
      </c>
      <c r="AX23" s="28"/>
    </row>
    <row r="24" spans="1:50" s="18" customFormat="1" x14ac:dyDescent="0.45">
      <c r="A24" s="51" t="s">
        <v>186</v>
      </c>
      <c r="B24" s="51" t="s">
        <v>95</v>
      </c>
      <c r="C24" s="51" t="s">
        <v>179</v>
      </c>
      <c r="D24" s="51" t="s">
        <v>590</v>
      </c>
      <c r="E24" s="12">
        <v>610</v>
      </c>
      <c r="F24" s="23">
        <v>3.5000000000000003E-2</v>
      </c>
      <c r="G24" s="23">
        <v>4</v>
      </c>
      <c r="H24" s="23">
        <v>1600</v>
      </c>
      <c r="I24" s="23">
        <v>2500</v>
      </c>
      <c r="J24" s="23">
        <v>515</v>
      </c>
      <c r="K24" s="23">
        <v>1000</v>
      </c>
      <c r="L24" s="25">
        <v>0.6</v>
      </c>
      <c r="M24" s="25">
        <v>2</v>
      </c>
      <c r="N24" s="25">
        <v>1</v>
      </c>
      <c r="O24" s="25">
        <f t="shared" si="4"/>
        <v>8</v>
      </c>
      <c r="P24" s="25">
        <v>6</v>
      </c>
      <c r="Q24" s="16">
        <v>557</v>
      </c>
      <c r="R24" s="16">
        <v>616</v>
      </c>
      <c r="S24" s="16"/>
      <c r="T24" s="16">
        <v>24</v>
      </c>
      <c r="U24" s="16">
        <v>18</v>
      </c>
      <c r="V24" s="16">
        <v>20.3</v>
      </c>
      <c r="W24" s="52">
        <f t="shared" si="0"/>
        <v>3.3833333333333333</v>
      </c>
      <c r="X24" s="16">
        <f t="shared" si="9"/>
        <v>59</v>
      </c>
      <c r="Y24" s="16">
        <f t="shared" si="10"/>
        <v>6</v>
      </c>
      <c r="Z24" s="2">
        <v>557</v>
      </c>
      <c r="AA24" s="2">
        <v>616</v>
      </c>
      <c r="AB24" s="2">
        <v>610</v>
      </c>
      <c r="AC24" s="2"/>
      <c r="AD24" s="2"/>
      <c r="AE24" s="9"/>
      <c r="AF24" s="9"/>
      <c r="AG24" s="9"/>
      <c r="AH24" s="9"/>
      <c r="AI24" s="6">
        <f>0.28*0.5</f>
        <v>0.14000000000000001</v>
      </c>
      <c r="AJ24" s="6"/>
      <c r="AK24" s="6"/>
      <c r="AL24" s="6" t="s">
        <v>35</v>
      </c>
      <c r="AM24" s="6" t="s">
        <v>211</v>
      </c>
      <c r="AN24" s="6" t="s">
        <v>572</v>
      </c>
      <c r="AO24" s="51">
        <v>2013</v>
      </c>
      <c r="AP24" s="51" t="s">
        <v>464</v>
      </c>
      <c r="AQ24" s="51" t="s">
        <v>238</v>
      </c>
      <c r="AR24" s="51" t="s">
        <v>239</v>
      </c>
      <c r="AS24" s="34" t="s">
        <v>465</v>
      </c>
      <c r="AT24" s="86">
        <v>14</v>
      </c>
      <c r="AU24" t="s">
        <v>127</v>
      </c>
    </row>
    <row r="25" spans="1:50" s="18" customFormat="1" x14ac:dyDescent="0.45">
      <c r="A25" s="51" t="s">
        <v>186</v>
      </c>
      <c r="B25" s="51" t="s">
        <v>95</v>
      </c>
      <c r="C25" s="51" t="s">
        <v>179</v>
      </c>
      <c r="D25" s="74" t="s">
        <v>111</v>
      </c>
      <c r="E25" s="12">
        <f t="shared" ref="E25:E32" si="11">AB25</f>
        <v>243</v>
      </c>
      <c r="F25" s="23">
        <v>0.05</v>
      </c>
      <c r="G25" s="23">
        <v>10</v>
      </c>
      <c r="H25" s="23">
        <v>1200</v>
      </c>
      <c r="I25" s="23">
        <v>1800</v>
      </c>
      <c r="J25" s="23">
        <v>380</v>
      </c>
      <c r="K25" s="23"/>
      <c r="L25" s="25"/>
      <c r="M25" s="25">
        <v>2</v>
      </c>
      <c r="N25" s="25">
        <v>1</v>
      </c>
      <c r="O25" s="25">
        <f t="shared" si="4"/>
        <v>20</v>
      </c>
      <c r="P25" s="25">
        <v>3</v>
      </c>
      <c r="Q25" s="16">
        <v>223</v>
      </c>
      <c r="R25" s="16">
        <v>263</v>
      </c>
      <c r="S25" s="16">
        <v>243</v>
      </c>
      <c r="T25" s="16">
        <v>19.5</v>
      </c>
      <c r="U25" s="16">
        <v>16.5</v>
      </c>
      <c r="V25" s="16">
        <v>19.5</v>
      </c>
      <c r="W25" s="52">
        <f t="shared" si="0"/>
        <v>6.5</v>
      </c>
      <c r="X25" s="16">
        <f t="shared" si="9"/>
        <v>40</v>
      </c>
      <c r="Y25" s="16">
        <f t="shared" si="10"/>
        <v>3</v>
      </c>
      <c r="Z25" s="2">
        <v>223</v>
      </c>
      <c r="AA25" s="2">
        <v>264</v>
      </c>
      <c r="AB25" s="2">
        <v>243</v>
      </c>
      <c r="AC25" s="2">
        <v>6</v>
      </c>
      <c r="AD25" s="2"/>
      <c r="AE25" s="9"/>
      <c r="AF25" s="9"/>
      <c r="AG25" s="9"/>
      <c r="AH25" s="9"/>
      <c r="AI25" s="6">
        <f>2.44*0.5</f>
        <v>1.22</v>
      </c>
      <c r="AJ25" s="6"/>
      <c r="AK25" s="6" t="s">
        <v>277</v>
      </c>
      <c r="AL25" s="6" t="s">
        <v>203</v>
      </c>
      <c r="AM25" s="6" t="s">
        <v>146</v>
      </c>
      <c r="AN25" s="6"/>
      <c r="AO25" s="51">
        <v>2013</v>
      </c>
      <c r="AP25" s="51" t="s">
        <v>466</v>
      </c>
      <c r="AQ25" s="51" t="s">
        <v>240</v>
      </c>
      <c r="AR25" s="51" t="s">
        <v>241</v>
      </c>
      <c r="AS25" s="34" t="s">
        <v>467</v>
      </c>
      <c r="AT25" s="86">
        <v>15</v>
      </c>
      <c r="AU25" t="s">
        <v>242</v>
      </c>
    </row>
    <row r="26" spans="1:50" s="18" customFormat="1" x14ac:dyDescent="0.45">
      <c r="A26" s="51" t="s">
        <v>186</v>
      </c>
      <c r="B26" s="51" t="s">
        <v>95</v>
      </c>
      <c r="C26" s="51" t="s">
        <v>179</v>
      </c>
      <c r="D26" s="74" t="s">
        <v>111</v>
      </c>
      <c r="E26" s="12">
        <f t="shared" si="11"/>
        <v>243</v>
      </c>
      <c r="F26" s="23">
        <v>3.5000000000000003E-2</v>
      </c>
      <c r="G26" s="23">
        <v>10</v>
      </c>
      <c r="H26" s="23"/>
      <c r="I26" s="23"/>
      <c r="J26" s="23">
        <v>515</v>
      </c>
      <c r="K26" s="23">
        <v>750</v>
      </c>
      <c r="L26" s="25">
        <v>1.6</v>
      </c>
      <c r="M26" s="25">
        <v>2</v>
      </c>
      <c r="N26" s="25">
        <v>1</v>
      </c>
      <c r="O26" s="25">
        <f t="shared" si="4"/>
        <v>20</v>
      </c>
      <c r="P26" s="25">
        <v>3</v>
      </c>
      <c r="Q26" s="16">
        <v>218</v>
      </c>
      <c r="R26" s="16">
        <v>260</v>
      </c>
      <c r="S26" s="16">
        <v>232</v>
      </c>
      <c r="T26" s="16">
        <v>26.3</v>
      </c>
      <c r="U26" s="16">
        <v>23.3</v>
      </c>
      <c r="V26" s="16">
        <v>25.2</v>
      </c>
      <c r="W26" s="52">
        <f t="shared" si="0"/>
        <v>8.4</v>
      </c>
      <c r="X26" s="16">
        <f t="shared" si="9"/>
        <v>42</v>
      </c>
      <c r="Y26" s="16">
        <f t="shared" si="10"/>
        <v>3</v>
      </c>
      <c r="Z26" s="2">
        <v>235</v>
      </c>
      <c r="AA26" s="2">
        <v>265</v>
      </c>
      <c r="AB26" s="2">
        <v>243</v>
      </c>
      <c r="AC26" s="2">
        <f>(5.8+6.4)/2</f>
        <v>6.1</v>
      </c>
      <c r="AD26" s="2">
        <v>5.8</v>
      </c>
      <c r="AE26" s="9"/>
      <c r="AF26" s="9"/>
      <c r="AG26" s="9"/>
      <c r="AH26" s="9"/>
      <c r="AI26" s="6">
        <f>1.5*0.5</f>
        <v>0.75</v>
      </c>
      <c r="AJ26" s="6" t="s">
        <v>560</v>
      </c>
      <c r="AK26" s="6"/>
      <c r="AL26" s="6" t="s">
        <v>35</v>
      </c>
      <c r="AM26" s="6" t="s">
        <v>146</v>
      </c>
      <c r="AN26" s="6" t="s">
        <v>573</v>
      </c>
      <c r="AO26" s="51">
        <v>2012</v>
      </c>
      <c r="AP26" s="51" t="s">
        <v>468</v>
      </c>
      <c r="AQ26" s="51" t="s">
        <v>243</v>
      </c>
      <c r="AR26" s="51" t="s">
        <v>244</v>
      </c>
      <c r="AS26" s="12" t="s">
        <v>397</v>
      </c>
      <c r="AT26" s="86">
        <v>16</v>
      </c>
      <c r="AU26" t="s">
        <v>71</v>
      </c>
    </row>
    <row r="27" spans="1:50" s="18" customFormat="1" x14ac:dyDescent="0.45">
      <c r="A27" s="51" t="s">
        <v>186</v>
      </c>
      <c r="B27" s="51" t="s">
        <v>95</v>
      </c>
      <c r="C27" s="51" t="s">
        <v>179</v>
      </c>
      <c r="D27" s="51" t="s">
        <v>102</v>
      </c>
      <c r="E27" s="12">
        <f t="shared" si="11"/>
        <v>135</v>
      </c>
      <c r="F27" s="23">
        <v>0.02</v>
      </c>
      <c r="G27" s="23">
        <v>15</v>
      </c>
      <c r="H27" s="23">
        <v>1400</v>
      </c>
      <c r="I27" s="23">
        <v>2500</v>
      </c>
      <c r="J27" s="23">
        <v>660</v>
      </c>
      <c r="K27" s="23"/>
      <c r="L27" s="25">
        <v>1.2</v>
      </c>
      <c r="M27" s="25">
        <v>2</v>
      </c>
      <c r="N27" s="25">
        <v>1</v>
      </c>
      <c r="O27" s="25">
        <f t="shared" si="4"/>
        <v>30</v>
      </c>
      <c r="P27" s="25">
        <v>4</v>
      </c>
      <c r="Q27" s="16">
        <v>112</v>
      </c>
      <c r="R27" s="16">
        <v>175</v>
      </c>
      <c r="S27" s="16"/>
      <c r="T27" s="16">
        <v>23.5</v>
      </c>
      <c r="U27" s="16">
        <v>20</v>
      </c>
      <c r="V27" s="16">
        <f t="shared" ref="V27:V30" si="12">(T27+U27)/2</f>
        <v>21.75</v>
      </c>
      <c r="W27" s="52">
        <f t="shared" si="0"/>
        <v>5.4375</v>
      </c>
      <c r="X27" s="16">
        <f t="shared" si="9"/>
        <v>63</v>
      </c>
      <c r="Y27" s="16">
        <f t="shared" si="10"/>
        <v>3.5</v>
      </c>
      <c r="Z27" s="2">
        <v>120</v>
      </c>
      <c r="AA27" s="2">
        <v>150</v>
      </c>
      <c r="AB27" s="2">
        <f>(Z27+AA27)/2</f>
        <v>135</v>
      </c>
      <c r="AC27" s="2">
        <v>4</v>
      </c>
      <c r="AD27" s="2">
        <v>2.7</v>
      </c>
      <c r="AE27" s="9"/>
      <c r="AF27" s="9"/>
      <c r="AG27" s="9"/>
      <c r="AH27" s="9"/>
      <c r="AI27" s="6">
        <f>2*1</f>
        <v>2</v>
      </c>
      <c r="AJ27" s="6"/>
      <c r="AK27" s="6"/>
      <c r="AL27" s="6" t="s">
        <v>35</v>
      </c>
      <c r="AM27" s="6" t="s">
        <v>211</v>
      </c>
      <c r="AN27" s="6"/>
      <c r="AO27" s="51">
        <v>2011</v>
      </c>
      <c r="AP27" s="51" t="s">
        <v>469</v>
      </c>
      <c r="AQ27" s="51" t="s">
        <v>251</v>
      </c>
      <c r="AR27" s="51" t="s">
        <v>252</v>
      </c>
      <c r="AS27" s="12" t="s">
        <v>397</v>
      </c>
      <c r="AT27" s="86">
        <v>17</v>
      </c>
      <c r="AU27" t="s">
        <v>52</v>
      </c>
    </row>
    <row r="28" spans="1:50" s="18" customFormat="1" x14ac:dyDescent="0.45">
      <c r="A28" s="51" t="s">
        <v>186</v>
      </c>
      <c r="B28" s="51" t="s">
        <v>95</v>
      </c>
      <c r="C28" s="51" t="s">
        <v>179</v>
      </c>
      <c r="D28" s="51" t="s">
        <v>591</v>
      </c>
      <c r="E28" s="12">
        <f t="shared" si="11"/>
        <v>460</v>
      </c>
      <c r="F28" s="23">
        <v>3.5000000000000003E-2</v>
      </c>
      <c r="G28" s="23">
        <v>5</v>
      </c>
      <c r="H28" s="23">
        <v>1600</v>
      </c>
      <c r="I28" s="23">
        <v>2500</v>
      </c>
      <c r="J28" s="23">
        <v>515</v>
      </c>
      <c r="K28" s="23">
        <v>900</v>
      </c>
      <c r="L28" s="25">
        <v>1</v>
      </c>
      <c r="M28" s="25">
        <v>2</v>
      </c>
      <c r="N28" s="25">
        <v>1</v>
      </c>
      <c r="O28" s="25">
        <f t="shared" si="4"/>
        <v>10</v>
      </c>
      <c r="P28" s="25">
        <v>4</v>
      </c>
      <c r="Q28" s="16">
        <v>433</v>
      </c>
      <c r="R28" s="16">
        <v>460</v>
      </c>
      <c r="S28" s="16">
        <v>460</v>
      </c>
      <c r="T28" s="16">
        <v>16.100000000000001</v>
      </c>
      <c r="U28" s="16">
        <v>13</v>
      </c>
      <c r="V28" s="16">
        <f t="shared" si="12"/>
        <v>14.55</v>
      </c>
      <c r="W28" s="52">
        <f t="shared" si="0"/>
        <v>3.6375000000000002</v>
      </c>
      <c r="X28" s="16">
        <f t="shared" si="9"/>
        <v>27</v>
      </c>
      <c r="Y28" s="16">
        <f t="shared" si="10"/>
        <v>3.1000000000000014</v>
      </c>
      <c r="Z28" s="2">
        <v>433</v>
      </c>
      <c r="AA28" s="2">
        <v>465</v>
      </c>
      <c r="AB28" s="2">
        <v>460</v>
      </c>
      <c r="AC28" s="2">
        <v>9.6999999999999993</v>
      </c>
      <c r="AD28" s="2"/>
      <c r="AE28" s="9"/>
      <c r="AF28" s="9"/>
      <c r="AG28" s="9"/>
      <c r="AH28" s="9"/>
      <c r="AI28" s="6">
        <f>0.37*0.63</f>
        <v>0.2331</v>
      </c>
      <c r="AJ28" s="6" t="s">
        <v>560</v>
      </c>
      <c r="AK28" s="6"/>
      <c r="AL28" s="6" t="s">
        <v>35</v>
      </c>
      <c r="AM28" s="6" t="s">
        <v>211</v>
      </c>
      <c r="AN28" s="6" t="s">
        <v>574</v>
      </c>
      <c r="AO28" s="51">
        <v>2010</v>
      </c>
      <c r="AP28" s="51" t="s">
        <v>470</v>
      </c>
      <c r="AQ28" s="51" t="s">
        <v>253</v>
      </c>
      <c r="AR28" s="51" t="s">
        <v>254</v>
      </c>
      <c r="AS28" s="34" t="s">
        <v>471</v>
      </c>
      <c r="AT28" s="86">
        <v>18</v>
      </c>
      <c r="AU28" t="s">
        <v>255</v>
      </c>
    </row>
    <row r="29" spans="1:50" s="18" customFormat="1" x14ac:dyDescent="0.45">
      <c r="A29" s="51" t="s">
        <v>186</v>
      </c>
      <c r="B29" s="51" t="s">
        <v>95</v>
      </c>
      <c r="C29" s="51" t="s">
        <v>179</v>
      </c>
      <c r="D29" s="51" t="s">
        <v>111</v>
      </c>
      <c r="E29" s="12">
        <f t="shared" si="11"/>
        <v>320</v>
      </c>
      <c r="F29" s="23">
        <v>3.5000000000000003E-2</v>
      </c>
      <c r="G29" s="23">
        <v>10</v>
      </c>
      <c r="H29" s="23">
        <v>1600</v>
      </c>
      <c r="I29" s="23">
        <v>2500</v>
      </c>
      <c r="J29" s="23">
        <v>515</v>
      </c>
      <c r="K29" s="23">
        <v>900</v>
      </c>
      <c r="L29" s="25">
        <v>1.4</v>
      </c>
      <c r="M29" s="25">
        <v>2</v>
      </c>
      <c r="N29" s="25">
        <v>1</v>
      </c>
      <c r="O29" s="25">
        <f t="shared" si="4"/>
        <v>20</v>
      </c>
      <c r="P29" s="25">
        <v>4</v>
      </c>
      <c r="Q29" s="16">
        <v>220</v>
      </c>
      <c r="R29" s="16">
        <v>320</v>
      </c>
      <c r="S29" s="16">
        <v>319</v>
      </c>
      <c r="T29" s="16">
        <v>26.4</v>
      </c>
      <c r="U29" s="16">
        <v>20</v>
      </c>
      <c r="V29" s="16">
        <f t="shared" si="12"/>
        <v>23.2</v>
      </c>
      <c r="W29" s="52">
        <f t="shared" si="0"/>
        <v>5.8</v>
      </c>
      <c r="X29" s="16">
        <f t="shared" si="9"/>
        <v>100</v>
      </c>
      <c r="Y29" s="16">
        <f t="shared" si="10"/>
        <v>6.3999999999999986</v>
      </c>
      <c r="Z29" s="2">
        <v>220</v>
      </c>
      <c r="AA29" s="2">
        <v>320</v>
      </c>
      <c r="AB29" s="2">
        <v>320</v>
      </c>
      <c r="AC29" s="2"/>
      <c r="AD29" s="2"/>
      <c r="AE29" s="9"/>
      <c r="AF29" s="9"/>
      <c r="AG29" s="9">
        <v>4.9000000000000002E-2</v>
      </c>
      <c r="AH29" s="9"/>
      <c r="AI29" s="6">
        <f>0.5*1.2</f>
        <v>0.6</v>
      </c>
      <c r="AJ29" s="6" t="s">
        <v>560</v>
      </c>
      <c r="AK29" s="6"/>
      <c r="AL29" s="6" t="s">
        <v>35</v>
      </c>
      <c r="AM29" s="6" t="s">
        <v>256</v>
      </c>
      <c r="AN29" s="6" t="s">
        <v>574</v>
      </c>
      <c r="AO29" s="51">
        <v>2010</v>
      </c>
      <c r="AP29" s="51" t="s">
        <v>472</v>
      </c>
      <c r="AQ29" s="51" t="s">
        <v>257</v>
      </c>
      <c r="AR29" s="51" t="s">
        <v>205</v>
      </c>
      <c r="AS29" s="34" t="s">
        <v>473</v>
      </c>
      <c r="AT29" s="86">
        <v>19</v>
      </c>
      <c r="AU29" t="s">
        <v>258</v>
      </c>
    </row>
    <row r="30" spans="1:50" s="18" customFormat="1" x14ac:dyDescent="0.45">
      <c r="A30" s="51" t="s">
        <v>186</v>
      </c>
      <c r="B30" s="51" t="s">
        <v>95</v>
      </c>
      <c r="C30" s="51" t="s">
        <v>179</v>
      </c>
      <c r="D30" s="51" t="s">
        <v>111</v>
      </c>
      <c r="E30" s="12">
        <f t="shared" si="11"/>
        <v>320</v>
      </c>
      <c r="F30" s="23">
        <v>0.05</v>
      </c>
      <c r="G30" s="23">
        <v>10</v>
      </c>
      <c r="H30" s="23">
        <v>1200</v>
      </c>
      <c r="I30" s="23">
        <v>1800</v>
      </c>
      <c r="J30" s="23">
        <v>380</v>
      </c>
      <c r="K30" s="23">
        <v>500</v>
      </c>
      <c r="L30" s="25">
        <v>2</v>
      </c>
      <c r="M30" s="25">
        <v>2</v>
      </c>
      <c r="N30" s="25">
        <v>1</v>
      </c>
      <c r="O30" s="25">
        <f t="shared" si="4"/>
        <v>20</v>
      </c>
      <c r="P30" s="25">
        <v>4</v>
      </c>
      <c r="Q30" s="16">
        <v>240</v>
      </c>
      <c r="R30" s="16">
        <v>320</v>
      </c>
      <c r="S30" s="16">
        <v>320</v>
      </c>
      <c r="T30" s="16">
        <v>19.5</v>
      </c>
      <c r="U30" s="16">
        <v>15</v>
      </c>
      <c r="V30" s="16">
        <f t="shared" si="12"/>
        <v>17.25</v>
      </c>
      <c r="W30" s="52">
        <f t="shared" si="0"/>
        <v>4.3125</v>
      </c>
      <c r="X30" s="16">
        <f t="shared" si="9"/>
        <v>80</v>
      </c>
      <c r="Y30" s="16">
        <f t="shared" si="10"/>
        <v>4.5</v>
      </c>
      <c r="Z30" s="2">
        <v>240</v>
      </c>
      <c r="AA30" s="2">
        <v>320</v>
      </c>
      <c r="AB30" s="2">
        <v>320</v>
      </c>
      <c r="AC30" s="2">
        <v>7.3</v>
      </c>
      <c r="AD30" s="2"/>
      <c r="AE30" s="9"/>
      <c r="AF30" s="9"/>
      <c r="AG30" s="9"/>
      <c r="AH30" s="9"/>
      <c r="AI30" s="6">
        <f>0.5*1.2</f>
        <v>0.6</v>
      </c>
      <c r="AJ30" s="6" t="s">
        <v>560</v>
      </c>
      <c r="AK30" s="6"/>
      <c r="AL30" s="6" t="s">
        <v>35</v>
      </c>
      <c r="AM30" s="6" t="s">
        <v>256</v>
      </c>
      <c r="AN30" s="6" t="s">
        <v>574</v>
      </c>
      <c r="AO30" s="51">
        <v>2010</v>
      </c>
      <c r="AP30" s="51" t="s">
        <v>472</v>
      </c>
      <c r="AQ30" s="51" t="s">
        <v>257</v>
      </c>
      <c r="AR30" s="51" t="s">
        <v>205</v>
      </c>
      <c r="AS30" s="34" t="s">
        <v>473</v>
      </c>
      <c r="AT30" s="86">
        <v>19</v>
      </c>
      <c r="AU30" t="s">
        <v>258</v>
      </c>
    </row>
    <row r="31" spans="1:50" s="18" customFormat="1" x14ac:dyDescent="0.45">
      <c r="A31" s="51" t="s">
        <v>186</v>
      </c>
      <c r="B31" s="51" t="s">
        <v>95</v>
      </c>
      <c r="C31" s="51" t="s">
        <v>179</v>
      </c>
      <c r="D31" s="51" t="s">
        <v>102</v>
      </c>
      <c r="E31" s="12">
        <f t="shared" si="11"/>
        <v>130</v>
      </c>
      <c r="F31" s="23">
        <v>0.1</v>
      </c>
      <c r="G31" s="23">
        <v>15</v>
      </c>
      <c r="H31" s="23"/>
      <c r="I31" s="23"/>
      <c r="J31" s="23"/>
      <c r="K31" s="23"/>
      <c r="L31" s="25">
        <v>1.4</v>
      </c>
      <c r="M31" s="25">
        <v>2</v>
      </c>
      <c r="N31" s="25">
        <v>1</v>
      </c>
      <c r="O31" s="25">
        <f t="shared" si="4"/>
        <v>30</v>
      </c>
      <c r="P31" s="25">
        <v>4</v>
      </c>
      <c r="Q31" s="16">
        <v>135</v>
      </c>
      <c r="R31" s="16">
        <v>147</v>
      </c>
      <c r="S31" s="16"/>
      <c r="T31" s="16">
        <v>26</v>
      </c>
      <c r="U31" s="16">
        <v>20</v>
      </c>
      <c r="V31" s="16">
        <f>(T31+U31)/2</f>
        <v>23</v>
      </c>
      <c r="W31" s="52">
        <f t="shared" si="0"/>
        <v>5.75</v>
      </c>
      <c r="X31" s="16">
        <f t="shared" ref="X31:X40" si="13">R31-Q31</f>
        <v>12</v>
      </c>
      <c r="Y31" s="16">
        <f t="shared" si="10"/>
        <v>6</v>
      </c>
      <c r="Z31" s="2">
        <v>110</v>
      </c>
      <c r="AA31" s="2">
        <v>150</v>
      </c>
      <c r="AB31" s="2">
        <f>(Z31+AA31)/2</f>
        <v>130</v>
      </c>
      <c r="AC31" s="2">
        <f>(6.2+1.7)/2</f>
        <v>3.95</v>
      </c>
      <c r="AD31" s="2">
        <v>1.7</v>
      </c>
      <c r="AE31" s="9"/>
      <c r="AF31" s="9"/>
      <c r="AG31" s="9"/>
      <c r="AH31" s="9"/>
      <c r="AI31" s="6">
        <f>1*2</f>
        <v>2</v>
      </c>
      <c r="AJ31" s="6"/>
      <c r="AK31" s="6" t="s">
        <v>272</v>
      </c>
      <c r="AL31" s="6" t="s">
        <v>35</v>
      </c>
      <c r="AM31" s="6" t="s">
        <v>211</v>
      </c>
      <c r="AN31" s="53" t="s">
        <v>575</v>
      </c>
      <c r="AO31" s="51">
        <v>2010</v>
      </c>
      <c r="AP31" s="51" t="s">
        <v>474</v>
      </c>
      <c r="AQ31" s="51" t="s">
        <v>259</v>
      </c>
      <c r="AR31" s="51" t="s">
        <v>260</v>
      </c>
      <c r="AS31" s="12" t="s">
        <v>397</v>
      </c>
      <c r="AT31" s="86">
        <v>20</v>
      </c>
      <c r="AU31" t="s">
        <v>261</v>
      </c>
    </row>
    <row r="32" spans="1:50" s="18" customFormat="1" x14ac:dyDescent="0.45">
      <c r="A32" s="51" t="s">
        <v>186</v>
      </c>
      <c r="B32" s="51" t="s">
        <v>95</v>
      </c>
      <c r="C32" s="51" t="s">
        <v>179</v>
      </c>
      <c r="D32" s="51" t="s">
        <v>102</v>
      </c>
      <c r="E32" s="12">
        <f t="shared" si="11"/>
        <v>141</v>
      </c>
      <c r="F32" s="23">
        <v>0.05</v>
      </c>
      <c r="G32" s="23">
        <v>15</v>
      </c>
      <c r="H32" s="23"/>
      <c r="I32" s="23"/>
      <c r="J32" s="23"/>
      <c r="K32" s="23"/>
      <c r="L32" s="25"/>
      <c r="M32" s="25">
        <v>2</v>
      </c>
      <c r="N32" s="25">
        <v>1</v>
      </c>
      <c r="O32" s="25">
        <f t="shared" si="4"/>
        <v>30</v>
      </c>
      <c r="P32" s="25">
        <v>4</v>
      </c>
      <c r="Q32" s="16">
        <v>126</v>
      </c>
      <c r="R32" s="16">
        <v>156</v>
      </c>
      <c r="S32" s="16"/>
      <c r="T32" s="16">
        <v>21</v>
      </c>
      <c r="U32" s="16">
        <v>18</v>
      </c>
      <c r="V32" s="16">
        <v>20</v>
      </c>
      <c r="W32" s="52">
        <f t="shared" si="0"/>
        <v>5</v>
      </c>
      <c r="X32" s="16">
        <f t="shared" si="13"/>
        <v>30</v>
      </c>
      <c r="Y32" s="16">
        <f t="shared" si="10"/>
        <v>3</v>
      </c>
      <c r="Z32" s="2">
        <v>126</v>
      </c>
      <c r="AA32" s="2">
        <v>156</v>
      </c>
      <c r="AB32" s="2">
        <f>(Z32+AA32)/2</f>
        <v>141</v>
      </c>
      <c r="AC32" s="2">
        <f>(6.8+1.5)/2</f>
        <v>4.1500000000000004</v>
      </c>
      <c r="AD32" s="2">
        <v>1.5</v>
      </c>
      <c r="AE32" s="9"/>
      <c r="AF32" s="9"/>
      <c r="AG32" s="9"/>
      <c r="AH32" s="9"/>
      <c r="AI32" s="6">
        <f>1*2</f>
        <v>2</v>
      </c>
      <c r="AJ32" s="6"/>
      <c r="AK32" s="6" t="s">
        <v>273</v>
      </c>
      <c r="AL32" s="6" t="s">
        <v>35</v>
      </c>
      <c r="AM32" s="6" t="s">
        <v>211</v>
      </c>
      <c r="AN32" s="53" t="s">
        <v>575</v>
      </c>
      <c r="AO32" s="51">
        <v>2010</v>
      </c>
      <c r="AP32" s="51" t="s">
        <v>474</v>
      </c>
      <c r="AQ32" s="51" t="s">
        <v>259</v>
      </c>
      <c r="AR32" s="51" t="s">
        <v>260</v>
      </c>
      <c r="AS32" s="12" t="s">
        <v>397</v>
      </c>
      <c r="AT32" s="86">
        <v>20</v>
      </c>
      <c r="AU32" t="s">
        <v>261</v>
      </c>
    </row>
    <row r="33" spans="1:50" s="18" customFormat="1" x14ac:dyDescent="0.45">
      <c r="A33" s="51" t="s">
        <v>178</v>
      </c>
      <c r="B33" s="51" t="s">
        <v>95</v>
      </c>
      <c r="C33" s="51" t="s">
        <v>179</v>
      </c>
      <c r="D33" s="51" t="s">
        <v>111</v>
      </c>
      <c r="E33" s="12">
        <f>AB33</f>
        <v>280</v>
      </c>
      <c r="F33" s="23">
        <v>0.05</v>
      </c>
      <c r="G33" s="23">
        <v>10</v>
      </c>
      <c r="H33" s="23"/>
      <c r="I33" s="23"/>
      <c r="J33" s="23">
        <v>400</v>
      </c>
      <c r="K33" s="23">
        <v>420</v>
      </c>
      <c r="L33" s="25"/>
      <c r="M33" s="25">
        <v>2</v>
      </c>
      <c r="N33" s="25">
        <v>1</v>
      </c>
      <c r="O33" s="25">
        <f t="shared" si="4"/>
        <v>20</v>
      </c>
      <c r="P33" s="25">
        <v>4</v>
      </c>
      <c r="Q33" s="16">
        <v>240</v>
      </c>
      <c r="R33" s="16">
        <v>320</v>
      </c>
      <c r="S33" s="16">
        <v>290</v>
      </c>
      <c r="T33" s="16">
        <v>20</v>
      </c>
      <c r="U33" s="16">
        <v>15</v>
      </c>
      <c r="V33" s="16">
        <f>(T33+U33)/2</f>
        <v>17.5</v>
      </c>
      <c r="W33" s="52">
        <f t="shared" si="0"/>
        <v>4.375</v>
      </c>
      <c r="X33" s="16">
        <f>R33-Q33</f>
        <v>80</v>
      </c>
      <c r="Y33" s="16">
        <f>T33-U33</f>
        <v>5</v>
      </c>
      <c r="Z33" s="2">
        <v>240</v>
      </c>
      <c r="AA33" s="2">
        <v>320</v>
      </c>
      <c r="AB33" s="2">
        <f>(Z33+AA33)/2</f>
        <v>280</v>
      </c>
      <c r="AC33" s="2">
        <v>7.5</v>
      </c>
      <c r="AD33" s="2"/>
      <c r="AE33" s="9"/>
      <c r="AF33" s="9"/>
      <c r="AG33" s="9"/>
      <c r="AH33" s="9"/>
      <c r="AI33" s="6">
        <f>0.5*1.2</f>
        <v>0.6</v>
      </c>
      <c r="AJ33" s="6"/>
      <c r="AK33" s="6"/>
      <c r="AL33" s="6" t="s">
        <v>35</v>
      </c>
      <c r="AM33" s="6" t="s">
        <v>190</v>
      </c>
      <c r="AN33" s="6" t="s">
        <v>576</v>
      </c>
      <c r="AO33" s="51">
        <v>2010</v>
      </c>
      <c r="AP33" s="51" t="s">
        <v>475</v>
      </c>
      <c r="AQ33" s="51" t="s">
        <v>196</v>
      </c>
      <c r="AR33" s="51" t="s">
        <v>197</v>
      </c>
      <c r="AS33" s="12" t="s">
        <v>397</v>
      </c>
      <c r="AT33" s="86">
        <v>21</v>
      </c>
      <c r="AU33" t="s">
        <v>198</v>
      </c>
      <c r="AX33" s="32"/>
    </row>
    <row r="34" spans="1:50" s="18" customFormat="1" x14ac:dyDescent="0.45">
      <c r="A34" s="51" t="s">
        <v>186</v>
      </c>
      <c r="B34" s="51" t="s">
        <v>95</v>
      </c>
      <c r="C34" s="51" t="s">
        <v>179</v>
      </c>
      <c r="D34" s="51" t="s">
        <v>61</v>
      </c>
      <c r="E34" s="12">
        <f>AB34</f>
        <v>94</v>
      </c>
      <c r="F34" s="23">
        <v>0.05</v>
      </c>
      <c r="G34" s="23">
        <v>15</v>
      </c>
      <c r="H34" s="23">
        <v>1200</v>
      </c>
      <c r="I34" s="23">
        <v>1800</v>
      </c>
      <c r="J34" s="23">
        <v>375</v>
      </c>
      <c r="K34" s="23">
        <v>500</v>
      </c>
      <c r="L34" s="25">
        <v>0.8</v>
      </c>
      <c r="M34" s="25">
        <v>4</v>
      </c>
      <c r="N34" s="25">
        <v>1</v>
      </c>
      <c r="O34" s="25">
        <f t="shared" si="4"/>
        <v>60</v>
      </c>
      <c r="P34" s="25">
        <v>2</v>
      </c>
      <c r="Q34" s="16">
        <v>80</v>
      </c>
      <c r="R34" s="16">
        <v>100</v>
      </c>
      <c r="S34" s="16"/>
      <c r="T34" s="16"/>
      <c r="U34" s="16">
        <v>20</v>
      </c>
      <c r="V34" s="16">
        <v>20</v>
      </c>
      <c r="W34" s="52">
        <f t="shared" si="0"/>
        <v>10</v>
      </c>
      <c r="X34" s="16">
        <f t="shared" si="13"/>
        <v>20</v>
      </c>
      <c r="Y34" s="16"/>
      <c r="Z34" s="2">
        <v>80</v>
      </c>
      <c r="AA34" s="2">
        <v>100</v>
      </c>
      <c r="AB34" s="2">
        <v>94</v>
      </c>
      <c r="AC34" s="2">
        <v>1.9</v>
      </c>
      <c r="AD34" s="2"/>
      <c r="AE34" s="9"/>
      <c r="AF34" s="9"/>
      <c r="AG34" s="9"/>
      <c r="AH34" s="9"/>
      <c r="AI34" s="6">
        <f>0.75*1.5</f>
        <v>1.125</v>
      </c>
      <c r="AJ34" s="6"/>
      <c r="AK34" s="6"/>
      <c r="AL34" s="6" t="s">
        <v>35</v>
      </c>
      <c r="AM34" s="6" t="s">
        <v>256</v>
      </c>
      <c r="AN34" s="6" t="s">
        <v>577</v>
      </c>
      <c r="AO34" s="51">
        <v>2009</v>
      </c>
      <c r="AP34" s="51" t="s">
        <v>476</v>
      </c>
      <c r="AQ34" s="51" t="s">
        <v>262</v>
      </c>
      <c r="AR34" s="51" t="s">
        <v>263</v>
      </c>
      <c r="AS34" s="34" t="s">
        <v>477</v>
      </c>
      <c r="AT34" s="86">
        <v>22</v>
      </c>
      <c r="AU34" t="s">
        <v>264</v>
      </c>
    </row>
    <row r="35" spans="1:50" s="18" customFormat="1" x14ac:dyDescent="0.45">
      <c r="A35" s="51" t="s">
        <v>186</v>
      </c>
      <c r="B35" s="51" t="s">
        <v>95</v>
      </c>
      <c r="C35" s="51" t="s">
        <v>179</v>
      </c>
      <c r="D35" s="51" t="s">
        <v>61</v>
      </c>
      <c r="E35" s="12">
        <f t="shared" ref="E35:E40" si="14">AB35</f>
        <v>94</v>
      </c>
      <c r="F35" s="23">
        <v>0.1</v>
      </c>
      <c r="G35" s="23">
        <v>15</v>
      </c>
      <c r="H35" s="23">
        <v>900</v>
      </c>
      <c r="I35" s="23">
        <v>1300</v>
      </c>
      <c r="J35" s="23">
        <v>220</v>
      </c>
      <c r="K35" s="23">
        <v>300</v>
      </c>
      <c r="L35" s="25">
        <v>0.8</v>
      </c>
      <c r="M35" s="25">
        <v>4</v>
      </c>
      <c r="N35" s="25">
        <v>1</v>
      </c>
      <c r="O35" s="25">
        <f t="shared" si="4"/>
        <v>60</v>
      </c>
      <c r="P35" s="25">
        <v>2</v>
      </c>
      <c r="Q35" s="16"/>
      <c r="R35" s="16"/>
      <c r="S35" s="16"/>
      <c r="T35" s="16"/>
      <c r="U35" s="16">
        <v>22</v>
      </c>
      <c r="V35" s="16">
        <v>22</v>
      </c>
      <c r="W35" s="52">
        <f t="shared" si="0"/>
        <v>11</v>
      </c>
      <c r="X35" s="16">
        <f t="shared" si="13"/>
        <v>0</v>
      </c>
      <c r="Y35" s="16"/>
      <c r="Z35" s="2"/>
      <c r="AA35" s="2"/>
      <c r="AB35" s="2">
        <v>94</v>
      </c>
      <c r="AC35" s="2">
        <v>2.5</v>
      </c>
      <c r="AD35" s="2"/>
      <c r="AE35" s="9"/>
      <c r="AF35" s="9"/>
      <c r="AG35" s="9"/>
      <c r="AH35" s="9"/>
      <c r="AI35" s="6">
        <f>0.75*1.5</f>
        <v>1.125</v>
      </c>
      <c r="AJ35" s="6"/>
      <c r="AK35" s="6"/>
      <c r="AL35" s="6" t="s">
        <v>35</v>
      </c>
      <c r="AM35" s="6" t="s">
        <v>256</v>
      </c>
      <c r="AN35" s="6" t="s">
        <v>577</v>
      </c>
      <c r="AO35" s="51">
        <v>2009</v>
      </c>
      <c r="AP35" s="51" t="s">
        <v>476</v>
      </c>
      <c r="AQ35" s="51" t="s">
        <v>262</v>
      </c>
      <c r="AR35" s="51" t="s">
        <v>263</v>
      </c>
      <c r="AS35" s="34" t="s">
        <v>477</v>
      </c>
      <c r="AT35" s="86">
        <v>22</v>
      </c>
      <c r="AU35" t="s">
        <v>264</v>
      </c>
    </row>
    <row r="36" spans="1:50" s="18" customFormat="1" x14ac:dyDescent="0.45">
      <c r="A36" s="51" t="s">
        <v>186</v>
      </c>
      <c r="B36" s="51" t="s">
        <v>95</v>
      </c>
      <c r="C36" s="51" t="s">
        <v>179</v>
      </c>
      <c r="D36" s="51" t="s">
        <v>97</v>
      </c>
      <c r="E36" s="12">
        <f t="shared" si="14"/>
        <v>210</v>
      </c>
      <c r="F36" s="23">
        <v>0.05</v>
      </c>
      <c r="G36" s="23">
        <v>15</v>
      </c>
      <c r="H36" s="23">
        <v>1200</v>
      </c>
      <c r="I36" s="23">
        <v>1800</v>
      </c>
      <c r="J36" s="23">
        <v>375</v>
      </c>
      <c r="K36" s="23">
        <v>500</v>
      </c>
      <c r="L36" s="25">
        <v>0.8</v>
      </c>
      <c r="M36" s="25">
        <v>4</v>
      </c>
      <c r="N36" s="25">
        <v>1</v>
      </c>
      <c r="O36" s="25">
        <f t="shared" si="4"/>
        <v>60</v>
      </c>
      <c r="P36" s="25">
        <v>2</v>
      </c>
      <c r="Q36" s="16"/>
      <c r="R36" s="16"/>
      <c r="S36" s="16"/>
      <c r="T36" s="16"/>
      <c r="U36" s="16">
        <v>17.5</v>
      </c>
      <c r="V36" s="16">
        <v>17.5</v>
      </c>
      <c r="W36" s="52">
        <f t="shared" si="0"/>
        <v>8.75</v>
      </c>
      <c r="X36" s="16">
        <f t="shared" si="13"/>
        <v>0</v>
      </c>
      <c r="Y36" s="16"/>
      <c r="Z36" s="2"/>
      <c r="AA36" s="2"/>
      <c r="AB36" s="2">
        <v>210</v>
      </c>
      <c r="AC36" s="2">
        <v>4.8</v>
      </c>
      <c r="AD36" s="2"/>
      <c r="AE36" s="9"/>
      <c r="AF36" s="9"/>
      <c r="AG36" s="9"/>
      <c r="AH36" s="9"/>
      <c r="AI36" s="6">
        <f t="shared" ref="AI36:AI37" si="15">0.75*1.5</f>
        <v>1.125</v>
      </c>
      <c r="AJ36" s="6"/>
      <c r="AK36" s="6"/>
      <c r="AL36" s="6" t="s">
        <v>35</v>
      </c>
      <c r="AM36" s="6" t="s">
        <v>256</v>
      </c>
      <c r="AN36" s="6" t="s">
        <v>577</v>
      </c>
      <c r="AO36" s="51">
        <v>2009</v>
      </c>
      <c r="AP36" s="51" t="s">
        <v>476</v>
      </c>
      <c r="AQ36" s="51" t="s">
        <v>262</v>
      </c>
      <c r="AR36" s="51" t="s">
        <v>263</v>
      </c>
      <c r="AS36" s="34" t="s">
        <v>477</v>
      </c>
      <c r="AT36" s="86">
        <v>22</v>
      </c>
      <c r="AU36" t="s">
        <v>264</v>
      </c>
    </row>
    <row r="37" spans="1:50" s="18" customFormat="1" x14ac:dyDescent="0.45">
      <c r="A37" s="51" t="s">
        <v>186</v>
      </c>
      <c r="B37" s="51" t="s">
        <v>95</v>
      </c>
      <c r="C37" s="51" t="s">
        <v>179</v>
      </c>
      <c r="D37" s="51" t="s">
        <v>97</v>
      </c>
      <c r="E37" s="12">
        <f t="shared" si="14"/>
        <v>210</v>
      </c>
      <c r="F37" s="23">
        <v>0.1</v>
      </c>
      <c r="G37" s="23">
        <v>15</v>
      </c>
      <c r="H37" s="23">
        <v>900</v>
      </c>
      <c r="I37" s="23">
        <v>1300</v>
      </c>
      <c r="J37" s="23">
        <v>220</v>
      </c>
      <c r="K37" s="23">
        <v>300</v>
      </c>
      <c r="L37" s="25">
        <v>0.8</v>
      </c>
      <c r="M37" s="25">
        <v>4</v>
      </c>
      <c r="N37" s="25">
        <v>1</v>
      </c>
      <c r="O37" s="25">
        <f t="shared" si="4"/>
        <v>60</v>
      </c>
      <c r="P37" s="25">
        <v>2</v>
      </c>
      <c r="Q37" s="16"/>
      <c r="R37" s="16"/>
      <c r="S37" s="16"/>
      <c r="T37" s="16"/>
      <c r="U37" s="16">
        <v>18</v>
      </c>
      <c r="V37" s="16">
        <v>18</v>
      </c>
      <c r="W37" s="52">
        <f t="shared" si="0"/>
        <v>9</v>
      </c>
      <c r="X37" s="16">
        <f t="shared" si="13"/>
        <v>0</v>
      </c>
      <c r="Y37" s="16"/>
      <c r="Z37" s="2"/>
      <c r="AA37" s="2"/>
      <c r="AB37" s="2">
        <v>210</v>
      </c>
      <c r="AC37" s="2">
        <v>7.4</v>
      </c>
      <c r="AD37" s="2"/>
      <c r="AE37" s="9"/>
      <c r="AF37" s="9"/>
      <c r="AG37" s="9"/>
      <c r="AH37" s="9"/>
      <c r="AI37" s="6">
        <f t="shared" si="15"/>
        <v>1.125</v>
      </c>
      <c r="AJ37" s="6"/>
      <c r="AK37" s="6"/>
      <c r="AL37" s="6" t="s">
        <v>35</v>
      </c>
      <c r="AM37" s="6" t="s">
        <v>256</v>
      </c>
      <c r="AN37" s="6" t="s">
        <v>577</v>
      </c>
      <c r="AO37" s="51">
        <v>2009</v>
      </c>
      <c r="AP37" s="51" t="s">
        <v>476</v>
      </c>
      <c r="AQ37" s="51" t="s">
        <v>262</v>
      </c>
      <c r="AR37" s="51" t="s">
        <v>263</v>
      </c>
      <c r="AS37" s="34" t="s">
        <v>477</v>
      </c>
      <c r="AT37" s="86">
        <v>22</v>
      </c>
      <c r="AU37" t="s">
        <v>264</v>
      </c>
    </row>
    <row r="38" spans="1:50" s="18" customFormat="1" x14ac:dyDescent="0.45">
      <c r="A38" s="51" t="s">
        <v>186</v>
      </c>
      <c r="B38" s="51" t="s">
        <v>95</v>
      </c>
      <c r="C38" s="51" t="s">
        <v>179</v>
      </c>
      <c r="D38" s="51" t="s">
        <v>97</v>
      </c>
      <c r="E38" s="12">
        <f t="shared" si="14"/>
        <v>193</v>
      </c>
      <c r="F38" s="23">
        <v>0.05</v>
      </c>
      <c r="G38" s="23">
        <v>10</v>
      </c>
      <c r="H38" s="23">
        <v>1200</v>
      </c>
      <c r="I38" s="23">
        <v>1800</v>
      </c>
      <c r="J38" s="23">
        <v>400</v>
      </c>
      <c r="K38" s="23">
        <v>420</v>
      </c>
      <c r="L38" s="25">
        <v>0.8</v>
      </c>
      <c r="M38" s="25">
        <v>2</v>
      </c>
      <c r="N38" s="25">
        <v>1</v>
      </c>
      <c r="O38" s="25">
        <f t="shared" si="4"/>
        <v>20</v>
      </c>
      <c r="P38" s="25">
        <v>4</v>
      </c>
      <c r="Q38" s="16">
        <v>180</v>
      </c>
      <c r="R38" s="16">
        <v>220</v>
      </c>
      <c r="S38" s="16"/>
      <c r="T38" s="16">
        <v>17.5</v>
      </c>
      <c r="U38" s="16">
        <v>16</v>
      </c>
      <c r="V38" s="16">
        <f>(T38+U38)/2</f>
        <v>16.75</v>
      </c>
      <c r="W38" s="52">
        <f t="shared" si="0"/>
        <v>4.1875</v>
      </c>
      <c r="X38" s="16">
        <f t="shared" si="13"/>
        <v>40</v>
      </c>
      <c r="Y38" s="16">
        <f>T38-U38</f>
        <v>1.5</v>
      </c>
      <c r="Z38" s="2">
        <v>180</v>
      </c>
      <c r="AA38" s="2">
        <v>206</v>
      </c>
      <c r="AB38" s="2">
        <f>(Z38+AA38)/2</f>
        <v>193</v>
      </c>
      <c r="AC38" s="2">
        <v>4.8</v>
      </c>
      <c r="AD38" s="2">
        <v>4.5</v>
      </c>
      <c r="AE38" s="9"/>
      <c r="AF38" s="9"/>
      <c r="AG38" s="9"/>
      <c r="AH38" s="9"/>
      <c r="AI38" s="6">
        <f>0.65*1.5</f>
        <v>0.97500000000000009</v>
      </c>
      <c r="AJ38" s="6" t="s">
        <v>560</v>
      </c>
      <c r="AK38" s="6"/>
      <c r="AL38" s="6" t="s">
        <v>35</v>
      </c>
      <c r="AM38" s="6" t="s">
        <v>211</v>
      </c>
      <c r="AN38" s="6" t="s">
        <v>578</v>
      </c>
      <c r="AO38" s="51">
        <v>2008</v>
      </c>
      <c r="AP38" s="51" t="s">
        <v>478</v>
      </c>
      <c r="AQ38" s="51" t="s">
        <v>265</v>
      </c>
      <c r="AR38" s="51" t="s">
        <v>205</v>
      </c>
      <c r="AS38" s="34" t="s">
        <v>479</v>
      </c>
      <c r="AT38" s="86">
        <v>23</v>
      </c>
      <c r="AU38" t="s">
        <v>266</v>
      </c>
    </row>
    <row r="39" spans="1:50" s="18" customFormat="1" x14ac:dyDescent="0.45">
      <c r="A39" s="51" t="s">
        <v>186</v>
      </c>
      <c r="B39" s="51" t="s">
        <v>95</v>
      </c>
      <c r="C39" s="51" t="s">
        <v>179</v>
      </c>
      <c r="D39" s="51" t="s">
        <v>111</v>
      </c>
      <c r="E39" s="12">
        <f t="shared" si="14"/>
        <v>300</v>
      </c>
      <c r="F39" s="23">
        <v>3.5000000000000003E-2</v>
      </c>
      <c r="G39" s="23">
        <v>10</v>
      </c>
      <c r="H39" s="23">
        <v>1600</v>
      </c>
      <c r="I39" s="23">
        <v>2500</v>
      </c>
      <c r="J39" s="23">
        <v>515</v>
      </c>
      <c r="K39" s="23">
        <v>700</v>
      </c>
      <c r="L39" s="25">
        <v>2</v>
      </c>
      <c r="M39" s="25">
        <v>2</v>
      </c>
      <c r="N39" s="25">
        <v>1</v>
      </c>
      <c r="O39" s="25">
        <f t="shared" si="4"/>
        <v>20</v>
      </c>
      <c r="P39" s="25">
        <v>2</v>
      </c>
      <c r="Q39" s="16">
        <v>220</v>
      </c>
      <c r="R39" s="16">
        <v>325</v>
      </c>
      <c r="S39" s="16">
        <v>300</v>
      </c>
      <c r="T39" s="16">
        <v>13.5</v>
      </c>
      <c r="U39" s="16">
        <v>10.5</v>
      </c>
      <c r="V39" s="16">
        <f>(T39+U39)/2</f>
        <v>12</v>
      </c>
      <c r="W39" s="52">
        <f t="shared" si="0"/>
        <v>6</v>
      </c>
      <c r="X39" s="16">
        <f t="shared" si="13"/>
        <v>105</v>
      </c>
      <c r="Y39" s="16">
        <f>T39-U39</f>
        <v>3</v>
      </c>
      <c r="Z39" s="2">
        <v>220</v>
      </c>
      <c r="AA39" s="2">
        <v>325</v>
      </c>
      <c r="AB39" s="2">
        <v>300</v>
      </c>
      <c r="AC39" s="2">
        <v>7.2</v>
      </c>
      <c r="AD39" s="2"/>
      <c r="AE39" s="9"/>
      <c r="AF39" s="9"/>
      <c r="AG39" s="9"/>
      <c r="AH39" s="9"/>
      <c r="AI39" s="6">
        <f>0.43*0.82</f>
        <v>0.35259999999999997</v>
      </c>
      <c r="AJ39" s="6" t="s">
        <v>560</v>
      </c>
      <c r="AK39" s="6"/>
      <c r="AL39" s="6" t="s">
        <v>35</v>
      </c>
      <c r="AM39" s="6" t="s">
        <v>256</v>
      </c>
      <c r="AN39" s="6" t="s">
        <v>579</v>
      </c>
      <c r="AO39" s="51">
        <v>2008</v>
      </c>
      <c r="AP39" s="51" t="s">
        <v>480</v>
      </c>
      <c r="AQ39" s="51" t="s">
        <v>267</v>
      </c>
      <c r="AR39" s="51" t="s">
        <v>205</v>
      </c>
      <c r="AS39" s="34" t="s">
        <v>481</v>
      </c>
      <c r="AT39" s="86">
        <v>24</v>
      </c>
      <c r="AU39" t="s">
        <v>268</v>
      </c>
    </row>
    <row r="40" spans="1:50" s="18" customFormat="1" x14ac:dyDescent="0.45">
      <c r="A40" s="51" t="s">
        <v>186</v>
      </c>
      <c r="B40" s="51" t="s">
        <v>95</v>
      </c>
      <c r="C40" s="51" t="s">
        <v>179</v>
      </c>
      <c r="D40" s="51" t="s">
        <v>97</v>
      </c>
      <c r="E40" s="12">
        <f t="shared" si="14"/>
        <v>196.5</v>
      </c>
      <c r="F40" s="23">
        <v>0.1</v>
      </c>
      <c r="G40" s="23"/>
      <c r="H40" s="23"/>
      <c r="I40" s="23"/>
      <c r="J40" s="23"/>
      <c r="K40" s="23"/>
      <c r="L40" s="25"/>
      <c r="M40" s="25"/>
      <c r="N40" s="25"/>
      <c r="O40" s="25"/>
      <c r="P40" s="25">
        <v>4</v>
      </c>
      <c r="Q40" s="16">
        <v>210</v>
      </c>
      <c r="R40" s="16">
        <v>222</v>
      </c>
      <c r="S40" s="16">
        <v>217</v>
      </c>
      <c r="T40" s="16">
        <v>20</v>
      </c>
      <c r="U40" s="16">
        <v>17</v>
      </c>
      <c r="V40" s="16">
        <f>(T40+U40)/2</f>
        <v>18.5</v>
      </c>
      <c r="W40" s="52">
        <f t="shared" si="0"/>
        <v>4.625</v>
      </c>
      <c r="X40" s="16">
        <f t="shared" si="13"/>
        <v>12</v>
      </c>
      <c r="Y40" s="16">
        <f>T40-U40</f>
        <v>3</v>
      </c>
      <c r="Z40" s="2">
        <v>180</v>
      </c>
      <c r="AA40" s="2">
        <v>213</v>
      </c>
      <c r="AB40" s="2">
        <f>(Z40+AA40)/2</f>
        <v>196.5</v>
      </c>
      <c r="AC40" s="2">
        <v>9.4</v>
      </c>
      <c r="AD40" s="2"/>
      <c r="AE40" s="9"/>
      <c r="AF40" s="9"/>
      <c r="AG40" s="9"/>
      <c r="AH40" s="9"/>
      <c r="AI40" s="6">
        <f>1*2.5</f>
        <v>2.5</v>
      </c>
      <c r="AJ40" s="6"/>
      <c r="AK40" s="6"/>
      <c r="AL40" s="6" t="s">
        <v>25</v>
      </c>
      <c r="AM40" s="6" t="s">
        <v>256</v>
      </c>
      <c r="AN40" s="6" t="s">
        <v>580</v>
      </c>
      <c r="AO40" s="51">
        <v>2006</v>
      </c>
      <c r="AP40" s="51" t="s">
        <v>482</v>
      </c>
      <c r="AQ40" s="51" t="s">
        <v>269</v>
      </c>
      <c r="AR40" s="51" t="s">
        <v>205</v>
      </c>
      <c r="AS40" s="34" t="s">
        <v>483</v>
      </c>
      <c r="AT40" s="86">
        <v>25</v>
      </c>
      <c r="AU40" t="s">
        <v>270</v>
      </c>
    </row>
    <row r="41" spans="1:50" s="39" customFormat="1" x14ac:dyDescent="0.45">
      <c r="A41" s="36"/>
      <c r="B41" s="36"/>
      <c r="C41" s="36"/>
      <c r="D41" s="36"/>
      <c r="E41" s="36"/>
      <c r="F41" s="36"/>
      <c r="G41" s="36"/>
      <c r="H41" s="36"/>
      <c r="I41" s="36"/>
      <c r="J41" s="36"/>
      <c r="K41" s="36"/>
      <c r="L41" s="36"/>
      <c r="M41" s="36"/>
      <c r="N41" s="36"/>
      <c r="O41" s="36"/>
      <c r="P41" s="36"/>
      <c r="Q41" s="36"/>
      <c r="R41" s="36"/>
      <c r="S41" s="36"/>
      <c r="T41" s="36"/>
      <c r="U41" s="36"/>
      <c r="V41" s="36"/>
      <c r="W41" s="37"/>
      <c r="X41" s="38"/>
      <c r="Y41" s="38"/>
      <c r="Z41" s="36"/>
      <c r="AA41" s="36"/>
      <c r="AB41" s="36"/>
      <c r="AC41" s="36"/>
      <c r="AD41" s="36"/>
      <c r="AE41" s="36"/>
      <c r="AF41" s="36"/>
      <c r="AG41" s="36"/>
      <c r="AH41" s="36"/>
      <c r="AI41" s="36"/>
      <c r="AJ41" s="36"/>
      <c r="AK41" s="36"/>
      <c r="AL41" s="36"/>
      <c r="AM41" s="36"/>
      <c r="AN41" s="36"/>
      <c r="AO41" s="36"/>
      <c r="AP41" s="36"/>
      <c r="AQ41" s="36"/>
      <c r="AR41" s="36"/>
      <c r="AS41" s="36"/>
      <c r="AT41" s="87"/>
      <c r="AU41" s="84"/>
    </row>
    <row r="42" spans="1:50" s="18" customFormat="1" x14ac:dyDescent="0.45">
      <c r="A42" s="51" t="s">
        <v>180</v>
      </c>
      <c r="B42" s="51" t="s">
        <v>22</v>
      </c>
      <c r="C42" s="51" t="s">
        <v>181</v>
      </c>
      <c r="D42" s="51" t="s">
        <v>61</v>
      </c>
      <c r="E42" s="12">
        <f>AB42</f>
        <v>80</v>
      </c>
      <c r="F42" s="23">
        <v>0.05</v>
      </c>
      <c r="G42" s="23">
        <v>25</v>
      </c>
      <c r="H42" s="23"/>
      <c r="I42" s="23">
        <v>2100</v>
      </c>
      <c r="J42" s="23">
        <v>250</v>
      </c>
      <c r="K42" s="23">
        <v>1000</v>
      </c>
      <c r="L42" s="25">
        <v>1</v>
      </c>
      <c r="M42" s="25">
        <v>2</v>
      </c>
      <c r="N42" s="25">
        <v>1</v>
      </c>
      <c r="O42" s="25">
        <f t="shared" ref="O42:O48" si="16">G42*M42*N42</f>
        <v>50</v>
      </c>
      <c r="P42" s="25">
        <v>3</v>
      </c>
      <c r="Q42" s="16">
        <v>71</v>
      </c>
      <c r="R42" s="16">
        <v>86</v>
      </c>
      <c r="S42" s="16"/>
      <c r="T42" s="16">
        <v>26</v>
      </c>
      <c r="U42" s="16">
        <v>24</v>
      </c>
      <c r="V42" s="55">
        <f>(T42+U42)/2</f>
        <v>25</v>
      </c>
      <c r="W42" s="52">
        <f t="shared" ref="W42:W50" si="17">V42/P42</f>
        <v>8.3333333333333339</v>
      </c>
      <c r="X42" s="16">
        <f>R42-Q42</f>
        <v>15</v>
      </c>
      <c r="Y42" s="16">
        <f>T42-U42</f>
        <v>2</v>
      </c>
      <c r="Z42" s="2">
        <v>71</v>
      </c>
      <c r="AA42" s="2">
        <v>86</v>
      </c>
      <c r="AB42" s="2">
        <v>80</v>
      </c>
      <c r="AC42" s="2">
        <v>1.9</v>
      </c>
      <c r="AD42" s="2">
        <v>1.6</v>
      </c>
      <c r="AE42" s="9"/>
      <c r="AF42" s="9"/>
      <c r="AG42" s="9"/>
      <c r="AH42" s="9"/>
      <c r="AI42" s="6">
        <f>1.6*2.26</f>
        <v>3.6159999999999997</v>
      </c>
      <c r="AJ42" s="6"/>
      <c r="AK42" s="6"/>
      <c r="AL42" s="6" t="s">
        <v>35</v>
      </c>
      <c r="AM42" s="6" t="s">
        <v>211</v>
      </c>
      <c r="AN42" s="6" t="s">
        <v>581</v>
      </c>
      <c r="AO42" s="51">
        <v>2014</v>
      </c>
      <c r="AP42" s="51" t="s">
        <v>485</v>
      </c>
      <c r="AQ42" s="51" t="s">
        <v>226</v>
      </c>
      <c r="AR42" s="51" t="s">
        <v>227</v>
      </c>
      <c r="AS42" s="34" t="s">
        <v>486</v>
      </c>
      <c r="AT42" s="86">
        <v>26</v>
      </c>
      <c r="AU42" t="s">
        <v>161</v>
      </c>
    </row>
    <row r="43" spans="1:50" s="18" customFormat="1" x14ac:dyDescent="0.45">
      <c r="A43" s="51" t="s">
        <v>180</v>
      </c>
      <c r="B43" s="51" t="s">
        <v>22</v>
      </c>
      <c r="C43" s="51" t="s">
        <v>181</v>
      </c>
      <c r="D43" s="51" t="s">
        <v>61</v>
      </c>
      <c r="E43" s="12">
        <f>AB43</f>
        <v>79</v>
      </c>
      <c r="F43" s="23">
        <v>0.05</v>
      </c>
      <c r="G43" s="23">
        <v>25</v>
      </c>
      <c r="H43" s="23"/>
      <c r="I43" s="23">
        <v>2100</v>
      </c>
      <c r="J43" s="23">
        <v>250</v>
      </c>
      <c r="K43" s="23">
        <v>1000</v>
      </c>
      <c r="L43" s="25"/>
      <c r="M43" s="25">
        <v>2</v>
      </c>
      <c r="N43" s="25">
        <v>1</v>
      </c>
      <c r="O43" s="25">
        <f t="shared" si="16"/>
        <v>50</v>
      </c>
      <c r="P43" s="25">
        <v>3</v>
      </c>
      <c r="Q43" s="16">
        <v>60</v>
      </c>
      <c r="R43" s="16">
        <v>90</v>
      </c>
      <c r="S43" s="16"/>
      <c r="T43" s="16">
        <f>26.9+2</f>
        <v>28.9</v>
      </c>
      <c r="U43" s="16">
        <f>26.9-2</f>
        <v>24.9</v>
      </c>
      <c r="V43" s="55">
        <f>(T43+U43)/2</f>
        <v>26.9</v>
      </c>
      <c r="W43" s="52">
        <f t="shared" si="17"/>
        <v>8.9666666666666668</v>
      </c>
      <c r="X43" s="16">
        <f>R43-Q43</f>
        <v>30</v>
      </c>
      <c r="Y43" s="16">
        <f>T43-U43</f>
        <v>4</v>
      </c>
      <c r="Z43" s="2">
        <v>60</v>
      </c>
      <c r="AA43" s="2">
        <v>90</v>
      </c>
      <c r="AB43" s="2">
        <v>79</v>
      </c>
      <c r="AC43" s="2">
        <f>(2.6+2)/2</f>
        <v>2.2999999999999998</v>
      </c>
      <c r="AD43" s="2">
        <v>2</v>
      </c>
      <c r="AE43" s="9">
        <v>0</v>
      </c>
      <c r="AF43" s="33">
        <f>POWER(10,AE43/10)</f>
        <v>1</v>
      </c>
      <c r="AG43" s="9">
        <v>4.4999999999999998E-2</v>
      </c>
      <c r="AH43" s="9"/>
      <c r="AI43" s="6">
        <f>1.6*2.26</f>
        <v>3.6159999999999997</v>
      </c>
      <c r="AJ43" s="6"/>
      <c r="AK43" s="6"/>
      <c r="AL43" s="6" t="s">
        <v>203</v>
      </c>
      <c r="AM43" s="6" t="s">
        <v>211</v>
      </c>
      <c r="AN43" s="6" t="s">
        <v>582</v>
      </c>
      <c r="AO43" s="51">
        <v>2014</v>
      </c>
      <c r="AP43" s="51" t="s">
        <v>485</v>
      </c>
      <c r="AQ43" s="51" t="s">
        <v>226</v>
      </c>
      <c r="AR43" s="51" t="s">
        <v>227</v>
      </c>
      <c r="AS43" s="34" t="s">
        <v>486</v>
      </c>
      <c r="AT43" s="86">
        <v>26</v>
      </c>
      <c r="AU43" t="s">
        <v>161</v>
      </c>
    </row>
    <row r="44" spans="1:50" s="18" customFormat="1" x14ac:dyDescent="0.45">
      <c r="A44" s="51" t="s">
        <v>182</v>
      </c>
      <c r="B44" s="51" t="s">
        <v>183</v>
      </c>
      <c r="C44" s="51" t="s">
        <v>179</v>
      </c>
      <c r="D44" s="51" t="s">
        <v>97</v>
      </c>
      <c r="E44" s="12">
        <f t="shared" ref="E44:E53" si="18">AB44</f>
        <v>165</v>
      </c>
      <c r="F44" s="23">
        <v>0.05</v>
      </c>
      <c r="G44" s="23">
        <v>15</v>
      </c>
      <c r="H44" s="23"/>
      <c r="I44" s="23">
        <v>2100</v>
      </c>
      <c r="J44" s="23">
        <v>370</v>
      </c>
      <c r="K44" s="23"/>
      <c r="L44" s="25"/>
      <c r="M44" s="25">
        <v>2</v>
      </c>
      <c r="N44" s="25">
        <v>1</v>
      </c>
      <c r="O44" s="25">
        <f t="shared" si="16"/>
        <v>30</v>
      </c>
      <c r="P44" s="25">
        <v>4</v>
      </c>
      <c r="Q44" s="16"/>
      <c r="R44" s="16"/>
      <c r="S44" s="16">
        <v>165</v>
      </c>
      <c r="T44" s="16"/>
      <c r="U44" s="16"/>
      <c r="V44" s="16">
        <v>20</v>
      </c>
      <c r="W44" s="52">
        <f t="shared" si="17"/>
        <v>5</v>
      </c>
      <c r="X44" s="16">
        <f t="shared" ref="X44:X55" si="19">R44-Q44</f>
        <v>0</v>
      </c>
      <c r="Y44" s="16"/>
      <c r="Z44" s="2"/>
      <c r="AA44" s="2"/>
      <c r="AB44" s="2">
        <v>165</v>
      </c>
      <c r="AC44" s="2">
        <v>4.4000000000000004</v>
      </c>
      <c r="AD44" s="2"/>
      <c r="AE44" s="9"/>
      <c r="AF44" s="9"/>
      <c r="AG44" s="9">
        <v>4.3999999999999997E-2</v>
      </c>
      <c r="AH44" s="9"/>
      <c r="AI44" s="6">
        <f>2.5*1</f>
        <v>2.5</v>
      </c>
      <c r="AJ44" s="6"/>
      <c r="AK44" s="6" t="s">
        <v>272</v>
      </c>
      <c r="AL44" s="6" t="s">
        <v>35</v>
      </c>
      <c r="AM44" s="6" t="s">
        <v>211</v>
      </c>
      <c r="AN44" s="6" t="s">
        <v>583</v>
      </c>
      <c r="AO44" s="51">
        <v>2013</v>
      </c>
      <c r="AP44" s="51" t="s">
        <v>461</v>
      </c>
      <c r="AQ44" s="51" t="s">
        <v>230</v>
      </c>
      <c r="AR44" s="51" t="s">
        <v>231</v>
      </c>
      <c r="AS44" s="34" t="s">
        <v>484</v>
      </c>
      <c r="AT44" s="86">
        <v>27</v>
      </c>
      <c r="AU44" t="s">
        <v>232</v>
      </c>
    </row>
    <row r="45" spans="1:50" s="18" customFormat="1" x14ac:dyDescent="0.45">
      <c r="A45" s="51" t="s">
        <v>182</v>
      </c>
      <c r="B45" s="51" t="s">
        <v>183</v>
      </c>
      <c r="C45" s="51" t="s">
        <v>179</v>
      </c>
      <c r="D45" s="51" t="s">
        <v>97</v>
      </c>
      <c r="E45" s="12">
        <f t="shared" si="18"/>
        <v>165</v>
      </c>
      <c r="F45" s="23">
        <v>0.05</v>
      </c>
      <c r="G45" s="23">
        <v>15</v>
      </c>
      <c r="H45" s="23"/>
      <c r="I45" s="23">
        <v>2100</v>
      </c>
      <c r="J45" s="23">
        <v>370</v>
      </c>
      <c r="K45" s="23"/>
      <c r="L45" s="25"/>
      <c r="M45" s="25">
        <v>2</v>
      </c>
      <c r="N45" s="25">
        <v>1</v>
      </c>
      <c r="O45" s="25">
        <f t="shared" si="16"/>
        <v>30</v>
      </c>
      <c r="P45" s="25">
        <v>4</v>
      </c>
      <c r="Q45" s="16"/>
      <c r="R45" s="16"/>
      <c r="S45" s="16">
        <v>165</v>
      </c>
      <c r="T45" s="16"/>
      <c r="U45" s="16"/>
      <c r="V45" s="16">
        <v>25</v>
      </c>
      <c r="W45" s="52">
        <f t="shared" si="17"/>
        <v>6.25</v>
      </c>
      <c r="X45" s="16">
        <f t="shared" si="19"/>
        <v>0</v>
      </c>
      <c r="Y45" s="16"/>
      <c r="Z45" s="2"/>
      <c r="AA45" s="2"/>
      <c r="AB45" s="2">
        <v>165</v>
      </c>
      <c r="AC45" s="2">
        <v>5.2</v>
      </c>
      <c r="AD45" s="2"/>
      <c r="AE45" s="9"/>
      <c r="AF45" s="9"/>
      <c r="AG45" s="9">
        <v>3.5999999999999997E-2</v>
      </c>
      <c r="AH45" s="9"/>
      <c r="AI45" s="6">
        <f t="shared" ref="AI45:AI49" si="20">2.5*1</f>
        <v>2.5</v>
      </c>
      <c r="AJ45" s="6"/>
      <c r="AK45" s="6" t="s">
        <v>273</v>
      </c>
      <c r="AL45" s="6" t="s">
        <v>35</v>
      </c>
      <c r="AM45" s="6" t="s">
        <v>211</v>
      </c>
      <c r="AN45" s="6" t="s">
        <v>583</v>
      </c>
      <c r="AO45" s="51">
        <v>2013</v>
      </c>
      <c r="AP45" s="51" t="s">
        <v>461</v>
      </c>
      <c r="AQ45" s="51" t="s">
        <v>230</v>
      </c>
      <c r="AR45" s="51" t="s">
        <v>231</v>
      </c>
      <c r="AS45" s="34" t="s">
        <v>484</v>
      </c>
      <c r="AT45" s="86">
        <v>27</v>
      </c>
      <c r="AU45" t="s">
        <v>232</v>
      </c>
    </row>
    <row r="46" spans="1:50" s="18" customFormat="1" x14ac:dyDescent="0.45">
      <c r="A46" s="51" t="s">
        <v>182</v>
      </c>
      <c r="B46" s="51" t="s">
        <v>183</v>
      </c>
      <c r="C46" s="51" t="s">
        <v>179</v>
      </c>
      <c r="D46" s="51" t="s">
        <v>97</v>
      </c>
      <c r="E46" s="12">
        <f t="shared" si="18"/>
        <v>165</v>
      </c>
      <c r="F46" s="23">
        <v>0.05</v>
      </c>
      <c r="G46" s="23">
        <v>15</v>
      </c>
      <c r="H46" s="23"/>
      <c r="I46" s="23">
        <v>2100</v>
      </c>
      <c r="J46" s="23">
        <v>370</v>
      </c>
      <c r="K46" s="23"/>
      <c r="L46" s="25"/>
      <c r="M46" s="25">
        <v>2</v>
      </c>
      <c r="N46" s="25">
        <v>1</v>
      </c>
      <c r="O46" s="25">
        <f t="shared" si="16"/>
        <v>30</v>
      </c>
      <c r="P46" s="25">
        <v>4</v>
      </c>
      <c r="Q46" s="16"/>
      <c r="R46" s="16"/>
      <c r="S46" s="16">
        <v>165</v>
      </c>
      <c r="T46" s="16"/>
      <c r="U46" s="16"/>
      <c r="V46" s="16">
        <v>20</v>
      </c>
      <c r="W46" s="52">
        <f t="shared" si="17"/>
        <v>5</v>
      </c>
      <c r="X46" s="16">
        <f t="shared" si="19"/>
        <v>0</v>
      </c>
      <c r="Y46" s="16"/>
      <c r="Z46" s="2"/>
      <c r="AA46" s="2"/>
      <c r="AB46" s="2">
        <v>165</v>
      </c>
      <c r="AC46" s="2">
        <v>7</v>
      </c>
      <c r="AD46" s="2"/>
      <c r="AE46" s="9"/>
      <c r="AF46" s="9"/>
      <c r="AG46" s="9"/>
      <c r="AH46" s="9"/>
      <c r="AI46" s="6"/>
      <c r="AJ46" s="6"/>
      <c r="AK46" s="6" t="s">
        <v>584</v>
      </c>
      <c r="AL46" s="6" t="s">
        <v>25</v>
      </c>
      <c r="AM46" s="6" t="s">
        <v>211</v>
      </c>
      <c r="AN46" s="6" t="s">
        <v>583</v>
      </c>
      <c r="AO46" s="51">
        <v>2013</v>
      </c>
      <c r="AP46" s="51" t="s">
        <v>461</v>
      </c>
      <c r="AQ46" s="51" t="s">
        <v>230</v>
      </c>
      <c r="AR46" s="51" t="s">
        <v>231</v>
      </c>
      <c r="AS46" s="34" t="s">
        <v>484</v>
      </c>
      <c r="AT46" s="86">
        <v>27</v>
      </c>
      <c r="AU46" t="s">
        <v>232</v>
      </c>
    </row>
    <row r="47" spans="1:50" s="18" customFormat="1" x14ac:dyDescent="0.45">
      <c r="A47" s="51" t="s">
        <v>182</v>
      </c>
      <c r="B47" s="51" t="s">
        <v>183</v>
      </c>
      <c r="C47" s="51" t="s">
        <v>179</v>
      </c>
      <c r="D47" s="51" t="s">
        <v>97</v>
      </c>
      <c r="E47" s="12">
        <f t="shared" si="18"/>
        <v>183</v>
      </c>
      <c r="F47" s="23">
        <v>0.05</v>
      </c>
      <c r="G47" s="23">
        <v>10</v>
      </c>
      <c r="H47" s="23"/>
      <c r="I47" s="23">
        <v>2100</v>
      </c>
      <c r="J47" s="23">
        <v>370</v>
      </c>
      <c r="K47" s="23"/>
      <c r="L47" s="25"/>
      <c r="M47" s="25">
        <v>2</v>
      </c>
      <c r="N47" s="25">
        <v>1</v>
      </c>
      <c r="O47" s="25">
        <f t="shared" si="16"/>
        <v>20</v>
      </c>
      <c r="P47" s="25">
        <v>4</v>
      </c>
      <c r="Q47" s="16"/>
      <c r="R47" s="16"/>
      <c r="S47" s="16">
        <v>183</v>
      </c>
      <c r="T47" s="16"/>
      <c r="U47" s="16"/>
      <c r="V47" s="16">
        <v>16</v>
      </c>
      <c r="W47" s="52">
        <f t="shared" si="17"/>
        <v>4</v>
      </c>
      <c r="X47" s="16">
        <f t="shared" si="19"/>
        <v>0</v>
      </c>
      <c r="Y47" s="16"/>
      <c r="Z47" s="2"/>
      <c r="AA47" s="2"/>
      <c r="AB47" s="2">
        <v>183</v>
      </c>
      <c r="AC47" s="2">
        <v>7.4</v>
      </c>
      <c r="AD47" s="2"/>
      <c r="AE47" s="9"/>
      <c r="AF47" s="9"/>
      <c r="AG47" s="9">
        <v>3.5000000000000003E-2</v>
      </c>
      <c r="AH47" s="9"/>
      <c r="AI47" s="6">
        <f>2.5*1</f>
        <v>2.5</v>
      </c>
      <c r="AJ47" s="6"/>
      <c r="AK47" s="6" t="s">
        <v>274</v>
      </c>
      <c r="AL47" s="6" t="s">
        <v>35</v>
      </c>
      <c r="AM47" s="6" t="s">
        <v>211</v>
      </c>
      <c r="AN47" s="6" t="s">
        <v>583</v>
      </c>
      <c r="AO47" s="51">
        <v>2013</v>
      </c>
      <c r="AP47" s="51" t="s">
        <v>461</v>
      </c>
      <c r="AQ47" s="51" t="s">
        <v>230</v>
      </c>
      <c r="AR47" s="51" t="s">
        <v>231</v>
      </c>
      <c r="AS47" s="34" t="s">
        <v>484</v>
      </c>
      <c r="AT47" s="86">
        <v>27</v>
      </c>
      <c r="AU47" t="s">
        <v>232</v>
      </c>
    </row>
    <row r="48" spans="1:50" s="18" customFormat="1" x14ac:dyDescent="0.45">
      <c r="A48" s="51" t="s">
        <v>182</v>
      </c>
      <c r="B48" s="51" t="s">
        <v>183</v>
      </c>
      <c r="C48" s="51" t="s">
        <v>179</v>
      </c>
      <c r="D48" s="51" t="s">
        <v>97</v>
      </c>
      <c r="E48" s="12">
        <f t="shared" si="18"/>
        <v>183</v>
      </c>
      <c r="F48" s="23">
        <v>0.05</v>
      </c>
      <c r="G48" s="23">
        <v>12</v>
      </c>
      <c r="H48" s="23"/>
      <c r="I48" s="23">
        <v>2100</v>
      </c>
      <c r="J48" s="23">
        <v>370</v>
      </c>
      <c r="K48" s="23"/>
      <c r="L48" s="25"/>
      <c r="M48" s="25">
        <v>2</v>
      </c>
      <c r="N48" s="25">
        <v>1</v>
      </c>
      <c r="O48" s="25">
        <f t="shared" si="16"/>
        <v>24</v>
      </c>
      <c r="P48" s="25">
        <v>4</v>
      </c>
      <c r="Q48" s="16"/>
      <c r="R48" s="16"/>
      <c r="S48" s="16">
        <v>183</v>
      </c>
      <c r="T48" s="16"/>
      <c r="U48" s="16"/>
      <c r="V48" s="16">
        <v>17</v>
      </c>
      <c r="W48" s="52">
        <f t="shared" si="17"/>
        <v>4.25</v>
      </c>
      <c r="X48" s="16">
        <f t="shared" si="19"/>
        <v>0</v>
      </c>
      <c r="Y48" s="16"/>
      <c r="Z48" s="2"/>
      <c r="AA48" s="2"/>
      <c r="AB48" s="2">
        <v>183</v>
      </c>
      <c r="AC48" s="2">
        <v>6.5</v>
      </c>
      <c r="AD48" s="2"/>
      <c r="AE48" s="9"/>
      <c r="AF48" s="9"/>
      <c r="AG48" s="9">
        <v>3.2000000000000001E-2</v>
      </c>
      <c r="AH48" s="9"/>
      <c r="AI48" s="6">
        <f>2.5*1</f>
        <v>2.5</v>
      </c>
      <c r="AJ48" s="6"/>
      <c r="AK48" s="6" t="s">
        <v>275</v>
      </c>
      <c r="AL48" s="6" t="s">
        <v>35</v>
      </c>
      <c r="AM48" s="6" t="s">
        <v>211</v>
      </c>
      <c r="AN48" s="6" t="s">
        <v>583</v>
      </c>
      <c r="AO48" s="51">
        <v>2013</v>
      </c>
      <c r="AP48" s="51" t="s">
        <v>461</v>
      </c>
      <c r="AQ48" s="51" t="s">
        <v>230</v>
      </c>
      <c r="AR48" s="51" t="s">
        <v>231</v>
      </c>
      <c r="AS48" s="34" t="s">
        <v>484</v>
      </c>
      <c r="AT48" s="86">
        <v>27</v>
      </c>
      <c r="AU48" t="s">
        <v>232</v>
      </c>
    </row>
    <row r="49" spans="1:47" s="18" customFormat="1" x14ac:dyDescent="0.45">
      <c r="A49" s="51" t="s">
        <v>182</v>
      </c>
      <c r="B49" s="51" t="s">
        <v>183</v>
      </c>
      <c r="C49" s="51" t="s">
        <v>179</v>
      </c>
      <c r="D49" s="51" t="s">
        <v>97</v>
      </c>
      <c r="E49" s="12">
        <f t="shared" si="18"/>
        <v>183</v>
      </c>
      <c r="F49" s="23">
        <v>0.05</v>
      </c>
      <c r="G49" s="23">
        <v>12</v>
      </c>
      <c r="H49" s="23"/>
      <c r="I49" s="23">
        <v>2100</v>
      </c>
      <c r="J49" s="23">
        <v>370</v>
      </c>
      <c r="K49" s="23"/>
      <c r="L49" s="25"/>
      <c r="M49" s="25">
        <v>2</v>
      </c>
      <c r="N49" s="25">
        <v>1</v>
      </c>
      <c r="O49" s="25">
        <f t="shared" ref="O49" si="21">G49*M49*N49</f>
        <v>24</v>
      </c>
      <c r="P49" s="25">
        <v>5</v>
      </c>
      <c r="Q49" s="16"/>
      <c r="R49" s="16"/>
      <c r="S49" s="16">
        <v>183</v>
      </c>
      <c r="T49" s="16"/>
      <c r="U49" s="16"/>
      <c r="V49" s="16">
        <v>20</v>
      </c>
      <c r="W49" s="52">
        <f t="shared" si="17"/>
        <v>4</v>
      </c>
      <c r="X49" s="16">
        <f t="shared" si="19"/>
        <v>0</v>
      </c>
      <c r="Y49" s="16"/>
      <c r="Z49" s="2"/>
      <c r="AA49" s="2"/>
      <c r="AB49" s="2">
        <v>183</v>
      </c>
      <c r="AC49" s="2">
        <v>6.7</v>
      </c>
      <c r="AD49" s="2"/>
      <c r="AE49" s="9"/>
      <c r="AF49" s="9"/>
      <c r="AG49" s="9">
        <v>4.1000000000000002E-2</v>
      </c>
      <c r="AH49" s="9"/>
      <c r="AI49" s="6">
        <f t="shared" si="20"/>
        <v>2.5</v>
      </c>
      <c r="AJ49" s="6"/>
      <c r="AK49" s="6" t="s">
        <v>276</v>
      </c>
      <c r="AL49" s="6" t="s">
        <v>35</v>
      </c>
      <c r="AM49" s="6" t="s">
        <v>211</v>
      </c>
      <c r="AN49" s="6" t="s">
        <v>583</v>
      </c>
      <c r="AO49" s="51">
        <v>2013</v>
      </c>
      <c r="AP49" s="51" t="s">
        <v>461</v>
      </c>
      <c r="AQ49" s="51" t="s">
        <v>230</v>
      </c>
      <c r="AR49" s="51" t="s">
        <v>231</v>
      </c>
      <c r="AS49" s="34" t="s">
        <v>484</v>
      </c>
      <c r="AT49" s="86">
        <v>27</v>
      </c>
      <c r="AU49" t="s">
        <v>232</v>
      </c>
    </row>
    <row r="50" spans="1:47" s="18" customFormat="1" x14ac:dyDescent="0.45">
      <c r="A50" s="51" t="s">
        <v>182</v>
      </c>
      <c r="B50" s="51" t="s">
        <v>183</v>
      </c>
      <c r="C50" s="51" t="s">
        <v>179</v>
      </c>
      <c r="D50" s="51" t="s">
        <v>97</v>
      </c>
      <c r="E50" s="12">
        <f t="shared" si="18"/>
        <v>183</v>
      </c>
      <c r="F50" s="23">
        <v>0.05</v>
      </c>
      <c r="G50" s="23"/>
      <c r="H50" s="23"/>
      <c r="I50" s="23">
        <v>2100</v>
      </c>
      <c r="J50" s="23">
        <v>370</v>
      </c>
      <c r="K50" s="23"/>
      <c r="L50" s="25"/>
      <c r="M50" s="25"/>
      <c r="N50" s="25"/>
      <c r="O50" s="25"/>
      <c r="P50" s="25">
        <v>5</v>
      </c>
      <c r="Q50" s="16"/>
      <c r="R50" s="16"/>
      <c r="S50" s="16">
        <v>183</v>
      </c>
      <c r="T50" s="16"/>
      <c r="U50" s="16"/>
      <c r="V50" s="16">
        <v>19</v>
      </c>
      <c r="W50" s="52">
        <f t="shared" si="17"/>
        <v>3.8</v>
      </c>
      <c r="X50" s="16">
        <f t="shared" si="19"/>
        <v>0</v>
      </c>
      <c r="Y50" s="16"/>
      <c r="Z50" s="2"/>
      <c r="AA50" s="2"/>
      <c r="AB50" s="2">
        <v>183</v>
      </c>
      <c r="AC50" s="2">
        <v>7.1</v>
      </c>
      <c r="AD50" s="2"/>
      <c r="AE50" s="9"/>
      <c r="AF50" s="9"/>
      <c r="AG50" s="9"/>
      <c r="AH50" s="9"/>
      <c r="AI50" s="6"/>
      <c r="AJ50" s="6"/>
      <c r="AK50" s="6" t="s">
        <v>276</v>
      </c>
      <c r="AL50" s="6" t="s">
        <v>25</v>
      </c>
      <c r="AM50" s="6" t="s">
        <v>211</v>
      </c>
      <c r="AN50" s="6" t="s">
        <v>583</v>
      </c>
      <c r="AO50" s="51">
        <v>2013</v>
      </c>
      <c r="AP50" s="51" t="s">
        <v>461</v>
      </c>
      <c r="AQ50" s="51" t="s">
        <v>230</v>
      </c>
      <c r="AR50" s="51" t="s">
        <v>231</v>
      </c>
      <c r="AS50" s="34" t="s">
        <v>484</v>
      </c>
      <c r="AT50" s="86">
        <v>27</v>
      </c>
      <c r="AU50" t="s">
        <v>232</v>
      </c>
    </row>
    <row r="51" spans="1:47" s="18" customFormat="1" x14ac:dyDescent="0.45">
      <c r="A51" s="51" t="s">
        <v>180</v>
      </c>
      <c r="B51" s="51" t="s">
        <v>22</v>
      </c>
      <c r="C51" s="51" t="s">
        <v>181</v>
      </c>
      <c r="D51" s="51" t="s">
        <v>97</v>
      </c>
      <c r="E51" s="12">
        <f>AB51</f>
        <v>155</v>
      </c>
      <c r="F51" s="23">
        <v>0.05</v>
      </c>
      <c r="G51" s="23"/>
      <c r="H51" s="23"/>
      <c r="I51" s="23"/>
      <c r="J51" s="23"/>
      <c r="K51" s="23"/>
      <c r="L51" s="25"/>
      <c r="M51" s="25"/>
      <c r="N51" s="25"/>
      <c r="O51" s="25"/>
      <c r="P51" s="25"/>
      <c r="Q51" s="16">
        <v>140</v>
      </c>
      <c r="R51" s="16">
        <v>170</v>
      </c>
      <c r="S51" s="16"/>
      <c r="T51" s="16">
        <v>29</v>
      </c>
      <c r="U51" s="16">
        <v>21</v>
      </c>
      <c r="V51" s="16">
        <f t="shared" ref="V51" si="22">(T51+U51)/2</f>
        <v>25</v>
      </c>
      <c r="W51" s="52"/>
      <c r="X51" s="16">
        <f>R51-Q51</f>
        <v>30</v>
      </c>
      <c r="Y51" s="16">
        <f>T51-U51</f>
        <v>8</v>
      </c>
      <c r="Z51" s="2">
        <v>140</v>
      </c>
      <c r="AA51" s="2">
        <v>170</v>
      </c>
      <c r="AB51" s="2">
        <f t="shared" ref="AB51" si="23">SUM(Z51:AA51)/2</f>
        <v>155</v>
      </c>
      <c r="AC51" s="2">
        <f>(3.5+4)/2</f>
        <v>3.75</v>
      </c>
      <c r="AD51" s="2">
        <v>3.5</v>
      </c>
      <c r="AE51" s="9"/>
      <c r="AF51" s="9"/>
      <c r="AG51" s="9"/>
      <c r="AH51" s="9"/>
      <c r="AI51" s="6"/>
      <c r="AJ51" s="6"/>
      <c r="AK51" s="6"/>
      <c r="AL51" s="6" t="s">
        <v>35</v>
      </c>
      <c r="AM51" s="6"/>
      <c r="AN51" s="6"/>
      <c r="AO51" s="51">
        <v>2013</v>
      </c>
      <c r="AP51" s="51" t="s">
        <v>487</v>
      </c>
      <c r="AQ51" s="51" t="s">
        <v>236</v>
      </c>
      <c r="AR51" s="51" t="s">
        <v>237</v>
      </c>
      <c r="AS51" s="34" t="s">
        <v>488</v>
      </c>
      <c r="AT51" s="86">
        <v>28</v>
      </c>
      <c r="AU51" t="s">
        <v>171</v>
      </c>
    </row>
    <row r="52" spans="1:47" s="18" customFormat="1" x14ac:dyDescent="0.45">
      <c r="A52" s="51" t="s">
        <v>184</v>
      </c>
      <c r="B52" s="51" t="s">
        <v>185</v>
      </c>
      <c r="C52" s="51" t="s">
        <v>179</v>
      </c>
      <c r="D52" s="51" t="s">
        <v>102</v>
      </c>
      <c r="E52" s="12">
        <f t="shared" si="18"/>
        <v>140</v>
      </c>
      <c r="F52" s="23">
        <v>0.05</v>
      </c>
      <c r="G52" s="23">
        <v>15</v>
      </c>
      <c r="H52" s="23"/>
      <c r="I52" s="23"/>
      <c r="J52" s="23">
        <v>400</v>
      </c>
      <c r="K52" s="23"/>
      <c r="L52" s="25">
        <v>1</v>
      </c>
      <c r="M52" s="25">
        <v>2</v>
      </c>
      <c r="N52" s="25">
        <v>1</v>
      </c>
      <c r="O52" s="25">
        <f t="shared" ref="O52:O55" si="24">G52*M52*N52</f>
        <v>30</v>
      </c>
      <c r="P52" s="25">
        <v>4</v>
      </c>
      <c r="Q52" s="16">
        <v>105</v>
      </c>
      <c r="R52" s="16">
        <v>175</v>
      </c>
      <c r="S52" s="16">
        <v>167</v>
      </c>
      <c r="T52" s="16">
        <v>30</v>
      </c>
      <c r="U52" s="16">
        <v>25</v>
      </c>
      <c r="V52" s="16">
        <f>(T52+U52)/2</f>
        <v>27.5</v>
      </c>
      <c r="W52" s="52">
        <f>V52/P52</f>
        <v>6.875</v>
      </c>
      <c r="X52" s="16">
        <f t="shared" si="19"/>
        <v>70</v>
      </c>
      <c r="Y52" s="16">
        <f>T52-U52</f>
        <v>5</v>
      </c>
      <c r="Z52" s="2">
        <v>110</v>
      </c>
      <c r="AA52" s="2">
        <v>170</v>
      </c>
      <c r="AB52" s="2">
        <v>140</v>
      </c>
      <c r="AC52" s="2">
        <v>5.5</v>
      </c>
      <c r="AD52" s="2">
        <v>3.4</v>
      </c>
      <c r="AE52" s="9">
        <v>5</v>
      </c>
      <c r="AF52" s="33">
        <f>POWER(10,AE52/10)</f>
        <v>3.1622776601683795</v>
      </c>
      <c r="AG52" s="9"/>
      <c r="AH52" s="9"/>
      <c r="AI52" s="6">
        <f>0.9*0.7</f>
        <v>0.63</v>
      </c>
      <c r="AJ52" s="6"/>
      <c r="AK52" s="6" t="s">
        <v>278</v>
      </c>
      <c r="AL52" s="6" t="s">
        <v>35</v>
      </c>
      <c r="AM52" s="6" t="s">
        <v>211</v>
      </c>
      <c r="AN52" s="6" t="s">
        <v>585</v>
      </c>
      <c r="AO52" s="51">
        <v>2013</v>
      </c>
      <c r="AP52" s="51" t="s">
        <v>489</v>
      </c>
      <c r="AQ52" s="51" t="s">
        <v>234</v>
      </c>
      <c r="AR52" s="51" t="s">
        <v>235</v>
      </c>
      <c r="AS52" s="12" t="s">
        <v>397</v>
      </c>
      <c r="AT52" s="86">
        <v>29</v>
      </c>
      <c r="AU52" t="s">
        <v>168</v>
      </c>
    </row>
    <row r="53" spans="1:47" s="18" customFormat="1" x14ac:dyDescent="0.45">
      <c r="A53" s="51" t="s">
        <v>184</v>
      </c>
      <c r="B53" s="51" t="s">
        <v>185</v>
      </c>
      <c r="C53" s="51" t="s">
        <v>179</v>
      </c>
      <c r="D53" s="51" t="s">
        <v>102</v>
      </c>
      <c r="E53" s="12">
        <f t="shared" si="18"/>
        <v>140</v>
      </c>
      <c r="F53" s="23">
        <v>0.05</v>
      </c>
      <c r="G53" s="23">
        <v>15</v>
      </c>
      <c r="H53" s="23"/>
      <c r="I53" s="23"/>
      <c r="J53" s="23">
        <v>400</v>
      </c>
      <c r="K53" s="23"/>
      <c r="L53" s="25">
        <v>2</v>
      </c>
      <c r="M53" s="25">
        <v>2</v>
      </c>
      <c r="N53" s="25">
        <v>1</v>
      </c>
      <c r="O53" s="25">
        <f t="shared" si="24"/>
        <v>30</v>
      </c>
      <c r="P53" s="25">
        <v>4</v>
      </c>
      <c r="Q53" s="16">
        <v>105</v>
      </c>
      <c r="R53" s="16">
        <v>170</v>
      </c>
      <c r="S53" s="16">
        <v>107</v>
      </c>
      <c r="T53" s="16">
        <v>27</v>
      </c>
      <c r="U53" s="16">
        <v>20</v>
      </c>
      <c r="V53" s="16">
        <f>(T53+U53)/2</f>
        <v>23.5</v>
      </c>
      <c r="W53" s="52">
        <f>V53/P53</f>
        <v>5.875</v>
      </c>
      <c r="X53" s="16">
        <f t="shared" si="19"/>
        <v>65</v>
      </c>
      <c r="Y53" s="16">
        <f>T53-U53</f>
        <v>7</v>
      </c>
      <c r="Z53" s="2">
        <v>110</v>
      </c>
      <c r="AA53" s="2">
        <v>170</v>
      </c>
      <c r="AB53" s="2">
        <v>140</v>
      </c>
      <c r="AC53" s="2">
        <v>6.5</v>
      </c>
      <c r="AD53" s="2">
        <v>4.0999999999999996</v>
      </c>
      <c r="AE53" s="9">
        <v>4</v>
      </c>
      <c r="AF53" s="33">
        <f>POWER(10,AE53/10)</f>
        <v>2.5118864315095806</v>
      </c>
      <c r="AG53" s="9"/>
      <c r="AH53" s="9"/>
      <c r="AI53" s="6">
        <f>0.9*0.7</f>
        <v>0.63</v>
      </c>
      <c r="AJ53" s="6"/>
      <c r="AK53" s="6" t="s">
        <v>279</v>
      </c>
      <c r="AL53" s="6" t="s">
        <v>35</v>
      </c>
      <c r="AM53" s="6" t="s">
        <v>211</v>
      </c>
      <c r="AN53" s="6" t="s">
        <v>585</v>
      </c>
      <c r="AO53" s="51">
        <v>2013</v>
      </c>
      <c r="AP53" s="51" t="s">
        <v>489</v>
      </c>
      <c r="AQ53" s="51" t="s">
        <v>234</v>
      </c>
      <c r="AR53" s="51" t="s">
        <v>235</v>
      </c>
      <c r="AS53" s="12" t="s">
        <v>397</v>
      </c>
      <c r="AT53" s="86">
        <v>29</v>
      </c>
      <c r="AU53" t="s">
        <v>168</v>
      </c>
    </row>
    <row r="54" spans="1:47" s="18" customFormat="1" x14ac:dyDescent="0.45">
      <c r="A54" s="51" t="s">
        <v>187</v>
      </c>
      <c r="B54" s="51" t="s">
        <v>188</v>
      </c>
      <c r="C54" s="51" t="s">
        <v>179</v>
      </c>
      <c r="D54" s="51" t="s">
        <v>61</v>
      </c>
      <c r="E54" s="12">
        <f>AB54</f>
        <v>82.5</v>
      </c>
      <c r="F54" s="23">
        <v>0.1</v>
      </c>
      <c r="G54" s="23">
        <v>10</v>
      </c>
      <c r="H54" s="23"/>
      <c r="I54" s="23">
        <v>1300</v>
      </c>
      <c r="J54" s="23"/>
      <c r="K54" s="23">
        <v>300</v>
      </c>
      <c r="L54" s="25">
        <v>1</v>
      </c>
      <c r="M54" s="25">
        <v>4</v>
      </c>
      <c r="N54" s="25">
        <v>1</v>
      </c>
      <c r="O54" s="25">
        <f t="shared" si="24"/>
        <v>40</v>
      </c>
      <c r="P54" s="25">
        <v>4</v>
      </c>
      <c r="Q54" s="16">
        <v>60</v>
      </c>
      <c r="R54" s="16">
        <v>90</v>
      </c>
      <c r="S54" s="16"/>
      <c r="T54" s="16">
        <v>19</v>
      </c>
      <c r="U54" s="16">
        <v>19</v>
      </c>
      <c r="V54" s="16">
        <v>19</v>
      </c>
      <c r="W54" s="52">
        <f>V54/P54</f>
        <v>4.75</v>
      </c>
      <c r="X54" s="16">
        <f t="shared" si="19"/>
        <v>30</v>
      </c>
      <c r="Y54" s="16">
        <f t="shared" ref="Y54:Y55" si="25">T54-U54</f>
        <v>0</v>
      </c>
      <c r="Z54" s="2">
        <v>75</v>
      </c>
      <c r="AA54" s="2">
        <v>90</v>
      </c>
      <c r="AB54" s="2">
        <f>(Z54+AA54)/2</f>
        <v>82.5</v>
      </c>
      <c r="AC54" s="2">
        <v>2.5</v>
      </c>
      <c r="AD54" s="2">
        <v>2.2999999999999998</v>
      </c>
      <c r="AE54" s="9"/>
      <c r="AF54" s="9"/>
      <c r="AG54" s="9"/>
      <c r="AH54" s="9"/>
      <c r="AI54" s="6">
        <f>3.5*1</f>
        <v>3.5</v>
      </c>
      <c r="AJ54" s="6"/>
      <c r="AK54" s="6"/>
      <c r="AL54" s="6" t="s">
        <v>35</v>
      </c>
      <c r="AM54" s="6" t="s">
        <v>245</v>
      </c>
      <c r="AN54" s="6" t="s">
        <v>586</v>
      </c>
      <c r="AO54" s="51">
        <v>2012</v>
      </c>
      <c r="AP54" s="51" t="s">
        <v>492</v>
      </c>
      <c r="AQ54" s="51" t="s">
        <v>246</v>
      </c>
      <c r="AR54" s="51" t="s">
        <v>247</v>
      </c>
      <c r="AS54" s="34" t="s">
        <v>493</v>
      </c>
      <c r="AT54" s="86">
        <v>30</v>
      </c>
      <c r="AU54" t="s">
        <v>136</v>
      </c>
    </row>
    <row r="55" spans="1:47" s="18" customFormat="1" x14ac:dyDescent="0.45">
      <c r="A55" s="51" t="s">
        <v>105</v>
      </c>
      <c r="B55" s="51" t="s">
        <v>189</v>
      </c>
      <c r="C55" s="51" t="s">
        <v>179</v>
      </c>
      <c r="D55" s="51" t="s">
        <v>97</v>
      </c>
      <c r="E55" s="12">
        <f>AB55</f>
        <v>180</v>
      </c>
      <c r="F55" s="23">
        <v>0.1</v>
      </c>
      <c r="G55" s="23">
        <v>10</v>
      </c>
      <c r="H55" s="23"/>
      <c r="I55" s="23"/>
      <c r="J55" s="23"/>
      <c r="K55" s="23"/>
      <c r="L55" s="25"/>
      <c r="M55" s="25">
        <v>2</v>
      </c>
      <c r="N55" s="25">
        <v>1</v>
      </c>
      <c r="O55" s="25">
        <f t="shared" si="24"/>
        <v>20</v>
      </c>
      <c r="P55" s="25">
        <v>5</v>
      </c>
      <c r="Q55" s="16">
        <v>160</v>
      </c>
      <c r="R55" s="16">
        <v>210</v>
      </c>
      <c r="S55" s="16">
        <v>160</v>
      </c>
      <c r="T55" s="16">
        <v>17</v>
      </c>
      <c r="U55" s="16">
        <v>14.25</v>
      </c>
      <c r="V55" s="16">
        <v>15</v>
      </c>
      <c r="W55" s="52">
        <f>V55/P55</f>
        <v>3</v>
      </c>
      <c r="X55" s="16">
        <f t="shared" si="19"/>
        <v>50</v>
      </c>
      <c r="Y55" s="16">
        <f t="shared" si="25"/>
        <v>2.75</v>
      </c>
      <c r="Z55" s="2">
        <v>160</v>
      </c>
      <c r="AA55" s="2">
        <v>210</v>
      </c>
      <c r="AB55" s="2">
        <v>180</v>
      </c>
      <c r="AC55" s="2">
        <v>5</v>
      </c>
      <c r="AD55" s="2">
        <v>4</v>
      </c>
      <c r="AE55" s="9"/>
      <c r="AF55" s="9"/>
      <c r="AG55" s="9"/>
      <c r="AH55" s="9"/>
      <c r="AI55" s="6">
        <f>0.75*2.75</f>
        <v>2.0625</v>
      </c>
      <c r="AJ55" s="6"/>
      <c r="AK55" s="6"/>
      <c r="AL55" s="6" t="s">
        <v>35</v>
      </c>
      <c r="AM55" s="6" t="s">
        <v>211</v>
      </c>
      <c r="AN55" s="6" t="s">
        <v>587</v>
      </c>
      <c r="AO55" s="51">
        <v>2011</v>
      </c>
      <c r="AP55" s="51" t="s">
        <v>490</v>
      </c>
      <c r="AQ55" s="51" t="s">
        <v>248</v>
      </c>
      <c r="AR55" s="51" t="s">
        <v>249</v>
      </c>
      <c r="AS55" s="34" t="s">
        <v>491</v>
      </c>
      <c r="AT55" s="86">
        <v>21</v>
      </c>
      <c r="AU55" t="s">
        <v>250</v>
      </c>
    </row>
    <row r="56" spans="1:47" s="39" customFormat="1" x14ac:dyDescent="0.45">
      <c r="A56" s="36"/>
      <c r="B56" s="36"/>
      <c r="C56" s="36"/>
      <c r="D56" s="36"/>
      <c r="E56" s="36"/>
      <c r="F56" s="36"/>
      <c r="G56" s="36"/>
      <c r="H56" s="36"/>
      <c r="I56" s="36"/>
      <c r="J56" s="36"/>
      <c r="K56" s="36"/>
      <c r="L56" s="36"/>
      <c r="M56" s="36"/>
      <c r="N56" s="36"/>
      <c r="O56" s="36"/>
      <c r="P56" s="36"/>
      <c r="Q56" s="36"/>
      <c r="R56" s="36"/>
      <c r="S56" s="36"/>
      <c r="T56" s="36"/>
      <c r="U56" s="36"/>
      <c r="V56" s="49"/>
      <c r="W56" s="41"/>
      <c r="X56" s="36"/>
      <c r="Y56" s="36"/>
      <c r="Z56" s="36"/>
      <c r="AA56" s="36"/>
      <c r="AB56" s="36"/>
      <c r="AC56" s="36"/>
      <c r="AD56" s="36"/>
      <c r="AE56" s="36"/>
      <c r="AF56" s="36"/>
      <c r="AG56" s="36"/>
      <c r="AH56" s="36"/>
      <c r="AI56" s="36"/>
      <c r="AJ56" s="36"/>
      <c r="AK56" s="36"/>
      <c r="AL56" s="36"/>
      <c r="AM56" s="36"/>
      <c r="AN56" s="36"/>
      <c r="AO56" s="36"/>
      <c r="AP56" s="36"/>
      <c r="AQ56" s="36"/>
      <c r="AR56" s="36"/>
      <c r="AS56" s="36"/>
      <c r="AT56" s="87"/>
      <c r="AU56" s="84"/>
    </row>
    <row r="57" spans="1:47" s="18" customFormat="1" x14ac:dyDescent="0.45">
      <c r="A57" s="11"/>
      <c r="B57" s="11"/>
      <c r="C57" s="11"/>
      <c r="D57" s="11"/>
      <c r="E57" s="11"/>
      <c r="F57" s="22"/>
      <c r="G57" s="22"/>
      <c r="H57" s="22"/>
      <c r="I57" s="22"/>
      <c r="J57" s="22"/>
      <c r="K57" s="22"/>
      <c r="L57" s="24"/>
      <c r="M57" s="24"/>
      <c r="N57" s="24"/>
      <c r="O57" s="24"/>
      <c r="P57" s="24"/>
      <c r="Q57" s="15"/>
      <c r="R57" s="15"/>
      <c r="S57" s="15"/>
      <c r="T57" s="15"/>
      <c r="U57" s="15"/>
      <c r="V57" s="27"/>
      <c r="W57" s="26"/>
      <c r="X57" s="15"/>
      <c r="Y57" s="15"/>
      <c r="Z57" s="3"/>
      <c r="AA57" s="3"/>
      <c r="AB57" s="3"/>
      <c r="AC57" s="3"/>
      <c r="AD57" s="3"/>
      <c r="AE57" s="8"/>
      <c r="AF57" s="8"/>
      <c r="AG57" s="8"/>
      <c r="AH57" s="8"/>
      <c r="AI57" s="5"/>
      <c r="AJ57" s="5"/>
      <c r="AK57" s="5"/>
      <c r="AL57" s="5"/>
      <c r="AM57" s="5"/>
      <c r="AN57" s="5"/>
      <c r="AO57" s="11"/>
      <c r="AP57" s="11"/>
      <c r="AQ57" s="11"/>
      <c r="AR57" s="11"/>
      <c r="AS57" s="11"/>
      <c r="AT57" s="86"/>
      <c r="AU57"/>
    </row>
    <row r="58" spans="1:47" s="18" customFormat="1" x14ac:dyDescent="0.45">
      <c r="A58" s="11"/>
      <c r="B58" s="11"/>
      <c r="C58" s="11"/>
      <c r="D58" s="11"/>
      <c r="E58" s="11"/>
      <c r="F58" s="22"/>
      <c r="G58" s="22"/>
      <c r="H58" s="22"/>
      <c r="I58" s="22"/>
      <c r="J58" s="22"/>
      <c r="K58" s="22"/>
      <c r="L58" s="24"/>
      <c r="M58" s="24"/>
      <c r="N58" s="24"/>
      <c r="O58" s="24"/>
      <c r="P58" s="24"/>
      <c r="Q58" s="15"/>
      <c r="R58" s="15"/>
      <c r="S58" s="15"/>
      <c r="T58" s="15"/>
      <c r="U58" s="15"/>
      <c r="V58" s="27"/>
      <c r="W58" s="26"/>
      <c r="X58" s="15"/>
      <c r="Y58" s="15"/>
      <c r="Z58" s="3"/>
      <c r="AA58" s="3"/>
      <c r="AB58" s="3"/>
      <c r="AC58" s="3"/>
      <c r="AD58" s="3"/>
      <c r="AE58" s="8"/>
      <c r="AF58" s="8"/>
      <c r="AG58" s="8"/>
      <c r="AH58" s="8"/>
      <c r="AI58" s="5"/>
      <c r="AJ58" s="5"/>
      <c r="AK58" s="5"/>
      <c r="AL58" s="5"/>
      <c r="AM58" s="5"/>
      <c r="AN58" s="5"/>
      <c r="AO58" s="11"/>
      <c r="AP58" s="11"/>
      <c r="AQ58" s="11"/>
      <c r="AR58" s="11"/>
      <c r="AS58" s="11"/>
      <c r="AT58" s="86"/>
      <c r="AU58"/>
    </row>
    <row r="59" spans="1:47" s="18" customFormat="1" x14ac:dyDescent="0.45">
      <c r="A59" s="11"/>
      <c r="B59" s="11"/>
      <c r="C59" s="11"/>
      <c r="D59" s="11"/>
      <c r="E59" s="11"/>
      <c r="F59" s="22"/>
      <c r="G59" s="22"/>
      <c r="H59" s="22"/>
      <c r="I59" s="22"/>
      <c r="J59" s="22"/>
      <c r="K59" s="22"/>
      <c r="L59" s="24"/>
      <c r="M59" s="24"/>
      <c r="N59" s="24"/>
      <c r="O59" s="24"/>
      <c r="P59" s="24"/>
      <c r="Q59" s="15"/>
      <c r="R59" s="15"/>
      <c r="S59" s="15"/>
      <c r="T59" s="15"/>
      <c r="U59" s="15"/>
      <c r="V59" s="27"/>
      <c r="W59" s="26"/>
      <c r="X59" s="15"/>
      <c r="Y59" s="15"/>
      <c r="Z59" s="3"/>
      <c r="AA59" s="3"/>
      <c r="AB59" s="3"/>
      <c r="AC59" s="3"/>
      <c r="AD59" s="3"/>
      <c r="AE59" s="8"/>
      <c r="AF59" s="8"/>
      <c r="AG59" s="8"/>
      <c r="AH59" s="8"/>
      <c r="AI59" s="5"/>
      <c r="AJ59" s="5"/>
      <c r="AK59" s="5"/>
      <c r="AL59" s="5"/>
      <c r="AM59" s="5"/>
      <c r="AN59" s="5"/>
      <c r="AO59" s="11"/>
      <c r="AP59" s="11"/>
      <c r="AQ59" s="11"/>
      <c r="AR59" s="11"/>
      <c r="AS59" s="11"/>
      <c r="AT59" s="86"/>
      <c r="AU59"/>
    </row>
    <row r="60" spans="1:47" s="18" customFormat="1" x14ac:dyDescent="0.45">
      <c r="A60" s="11"/>
      <c r="B60" s="11"/>
      <c r="C60" s="11"/>
      <c r="D60" s="11"/>
      <c r="E60" s="11"/>
      <c r="F60" s="22"/>
      <c r="G60" s="22"/>
      <c r="H60" s="22"/>
      <c r="I60" s="22"/>
      <c r="J60" s="22"/>
      <c r="K60" s="22"/>
      <c r="L60" s="24"/>
      <c r="M60" s="24"/>
      <c r="N60" s="24"/>
      <c r="O60" s="24"/>
      <c r="P60" s="24"/>
      <c r="Q60" s="15"/>
      <c r="R60" s="15"/>
      <c r="S60" s="15"/>
      <c r="T60" s="15"/>
      <c r="U60" s="15"/>
      <c r="V60" s="27"/>
      <c r="W60" s="26"/>
      <c r="X60" s="15"/>
      <c r="Y60" s="15"/>
      <c r="Z60" s="3"/>
      <c r="AA60" s="3"/>
      <c r="AB60" s="3"/>
      <c r="AC60" s="3"/>
      <c r="AD60" s="3"/>
      <c r="AE60" s="8"/>
      <c r="AF60" s="8"/>
      <c r="AG60" s="8"/>
      <c r="AH60" s="8"/>
      <c r="AI60" s="5"/>
      <c r="AJ60" s="5"/>
      <c r="AK60" s="5"/>
      <c r="AL60" s="5"/>
      <c r="AM60" s="5"/>
      <c r="AN60" s="5"/>
      <c r="AO60" s="11"/>
      <c r="AP60" s="11"/>
      <c r="AQ60" s="11"/>
      <c r="AR60" s="11"/>
      <c r="AS60" s="11"/>
      <c r="AT60" s="86"/>
      <c r="AU60"/>
    </row>
    <row r="61" spans="1:47" s="18" customFormat="1" x14ac:dyDescent="0.45">
      <c r="A61" s="11"/>
      <c r="B61" s="11"/>
      <c r="C61" s="11"/>
      <c r="D61" s="11"/>
      <c r="E61" s="11"/>
      <c r="F61" s="22"/>
      <c r="G61" s="22"/>
      <c r="H61" s="22"/>
      <c r="I61" s="22"/>
      <c r="J61" s="22"/>
      <c r="K61" s="22"/>
      <c r="L61" s="24"/>
      <c r="M61" s="24"/>
      <c r="N61" s="24"/>
      <c r="O61" s="24"/>
      <c r="P61" s="24"/>
      <c r="Q61" s="15"/>
      <c r="R61" s="15"/>
      <c r="S61" s="15"/>
      <c r="T61" s="15"/>
      <c r="U61" s="15"/>
      <c r="V61" s="27"/>
      <c r="W61" s="26"/>
      <c r="X61" s="15"/>
      <c r="Y61" s="15"/>
      <c r="Z61" s="3"/>
      <c r="AA61" s="3"/>
      <c r="AB61" s="3"/>
      <c r="AC61" s="3"/>
      <c r="AD61" s="3"/>
      <c r="AE61" s="8"/>
      <c r="AF61" s="8"/>
      <c r="AG61" s="8"/>
      <c r="AH61" s="8"/>
      <c r="AI61" s="5"/>
      <c r="AJ61" s="5"/>
      <c r="AK61" s="5"/>
      <c r="AL61" s="5"/>
      <c r="AM61" s="5"/>
      <c r="AN61" s="5"/>
      <c r="AO61" s="11"/>
      <c r="AP61" s="11"/>
      <c r="AQ61" s="11"/>
      <c r="AR61" s="11"/>
      <c r="AS61" s="11"/>
      <c r="AT61" s="86"/>
      <c r="AU61"/>
    </row>
  </sheetData>
  <phoneticPr fontId="2"/>
  <hyperlinks>
    <hyperlink ref="AS2" r:id="rId1" xr:uid="{1D4DFB5C-C2A0-4DA0-B054-0CB6E9CE2488}"/>
    <hyperlink ref="AS4" r:id="rId2" xr:uid="{3D3780D6-16DA-44DF-A758-B0058DBC77BD}"/>
    <hyperlink ref="AS5" r:id="rId3" xr:uid="{612915E1-E613-432B-8ED1-C83F4126FD0A}"/>
    <hyperlink ref="AS6" r:id="rId4" xr:uid="{60EA96D9-EAE4-4C32-B0FA-4900B4D2C3C9}"/>
    <hyperlink ref="AS7" r:id="rId5" xr:uid="{08E0C021-1D54-4A0D-882C-D3CF0C9D7F1D}"/>
    <hyperlink ref="AS8" r:id="rId6" xr:uid="{BE78D44A-53E6-4577-8A71-0395A3FFB5B5}"/>
    <hyperlink ref="AS9" r:id="rId7" xr:uid="{E8B59437-589A-4E1C-9D5D-4C73E5097412}"/>
    <hyperlink ref="AS10" r:id="rId8" xr:uid="{7B884825-E107-4A97-BAA0-327230206056}"/>
    <hyperlink ref="AS11" r:id="rId9" xr:uid="{5BDE0F0F-F62B-45A2-B14C-2B79FEF4E19B}"/>
    <hyperlink ref="AS12" r:id="rId10" xr:uid="{F1691607-2459-468B-B147-7E002B12C63F}"/>
    <hyperlink ref="AS13" r:id="rId11" xr:uid="{C336C1A2-21E8-44E0-92C1-9AC958CFB841}"/>
    <hyperlink ref="AS16" r:id="rId12" xr:uid="{067AADE2-3384-469B-8543-82AEE605B183}"/>
    <hyperlink ref="AS17" r:id="rId13" xr:uid="{1E2B85A3-A133-4E30-BC79-DF162FB3EA97}"/>
    <hyperlink ref="AS18" r:id="rId14" xr:uid="{12DD65DF-9652-427C-876B-BEF1DC3BA164}"/>
    <hyperlink ref="AS19" r:id="rId15" xr:uid="{41423687-6901-4979-8573-581A2DD656D4}"/>
    <hyperlink ref="AS20" r:id="rId16" xr:uid="{CCBA50D4-A4F3-4F63-AF83-1512590A4B41}"/>
    <hyperlink ref="AS23" r:id="rId17" xr:uid="{9FD69501-4AC7-4023-ABB6-27D9456EADE6}"/>
    <hyperlink ref="AS24" r:id="rId18" xr:uid="{1453001F-363C-4F87-9421-C0B91BADB44A}"/>
    <hyperlink ref="AS25" r:id="rId19" xr:uid="{183C870F-52E2-4F5C-9424-5905021C28AE}"/>
    <hyperlink ref="AS28" r:id="rId20" xr:uid="{C801FD3B-BBC4-47BC-8409-BFF8EEE7D6A6}"/>
    <hyperlink ref="AS29" r:id="rId21" xr:uid="{58B107A0-E8E9-4E97-AD50-0A24C8D28262}"/>
    <hyperlink ref="AS30" r:id="rId22" xr:uid="{EFE329A3-355D-4049-A3CC-8EECCAE087FE}"/>
    <hyperlink ref="AS34" r:id="rId23" xr:uid="{C37EE2DF-898A-4C6E-861A-AB566235804C}"/>
    <hyperlink ref="AS35" r:id="rId24" xr:uid="{BA8F8102-66B9-4BC0-9409-530117E63418}"/>
    <hyperlink ref="AS36" r:id="rId25" xr:uid="{D2336217-7019-457B-B600-B412B5B143EF}"/>
    <hyperlink ref="AS37" r:id="rId26" xr:uid="{A5947D97-511D-4F42-A6C6-E06B708288AA}"/>
    <hyperlink ref="AS38" r:id="rId27" xr:uid="{D6CE9370-3028-407D-B5F7-FDE40A5308DF}"/>
    <hyperlink ref="AS39" r:id="rId28" xr:uid="{DADEC33B-C840-4ED0-AB77-972DC6D9256D}"/>
    <hyperlink ref="AS40" r:id="rId29" xr:uid="{94B3DDE9-4D6A-485A-B3D2-D4D03610225F}"/>
    <hyperlink ref="AS44" r:id="rId30" xr:uid="{27D852A4-EDB5-4414-A9E3-E3653224D327}"/>
    <hyperlink ref="AS45:AS50" r:id="rId31" display="https://doi.org/10.1109/MWSYM.2013.6697544" xr:uid="{9D547170-AABA-42DD-A9CB-B3861770F07B}"/>
    <hyperlink ref="AS42" r:id="rId32" xr:uid="{6FA9A470-0858-4471-ADF4-E47BEC9246A4}"/>
    <hyperlink ref="AS43" r:id="rId33" xr:uid="{7B4B5160-A05E-4BB4-8A10-AB12370C9E78}"/>
    <hyperlink ref="AS51" r:id="rId34" xr:uid="{D2CFACC8-D571-4AF5-A429-DF05A640A295}"/>
    <hyperlink ref="AS55" r:id="rId35" xr:uid="{D29F84A9-CBCB-4AFD-8468-58CE994CE25F}"/>
    <hyperlink ref="AS54" r:id="rId36" xr:uid="{4CB5D028-C545-4824-A9E5-FB0357E72C25}"/>
  </hyperlinks>
  <pageMargins left="0.7" right="0.7" top="0.75" bottom="0.75" header="0.3" footer="0.3"/>
  <pageSetup paperSize="9" orientation="portrait" horizontalDpi="4294967293" verticalDpi="4294967293" r:id="rId37"/>
  <drawing r:id="rId3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44DD-35C8-4DD2-BECB-5D8738C55C7C}">
  <dimension ref="A1:BA27"/>
  <sheetViews>
    <sheetView zoomScale="55" zoomScaleNormal="55" workbookViewId="0">
      <pane xSplit="1" ySplit="1" topLeftCell="R17" activePane="bottomRight" state="frozen"/>
      <selection pane="topRight" activeCell="B1" sqref="B1"/>
      <selection pane="bottomLeft" activeCell="A2" sqref="A2"/>
      <selection pane="bottomRight" activeCell="Z33" sqref="Z33"/>
    </sheetView>
  </sheetViews>
  <sheetFormatPr defaultColWidth="9" defaultRowHeight="18" x14ac:dyDescent="0.45"/>
  <cols>
    <col min="1" max="1" width="11.19921875" style="13" bestFit="1" customWidth="1"/>
    <col min="2" max="2" width="12.09765625" style="13" bestFit="1" customWidth="1"/>
    <col min="3" max="3" width="9.19921875" style="13" bestFit="1" customWidth="1"/>
    <col min="4" max="4" width="10.5" style="13" bestFit="1" customWidth="1"/>
    <col min="5" max="5" width="11.19921875" style="13" bestFit="1" customWidth="1"/>
    <col min="6" max="6" width="8" style="13" bestFit="1" customWidth="1"/>
    <col min="7" max="7" width="8" style="13" customWidth="1"/>
    <col min="8" max="8" width="14.3984375" style="13" bestFit="1" customWidth="1"/>
    <col min="9" max="9" width="5.59765625" style="13" bestFit="1" customWidth="1"/>
    <col min="10" max="10" width="8.59765625" style="13" bestFit="1" customWidth="1"/>
    <col min="11" max="11" width="11.5" style="13" bestFit="1" customWidth="1"/>
    <col min="12" max="12" width="17.3984375" style="13" bestFit="1" customWidth="1"/>
    <col min="13" max="13" width="7.19921875" style="13" bestFit="1" customWidth="1"/>
    <col min="14" max="14" width="5.5" style="13" bestFit="1" customWidth="1"/>
    <col min="15" max="15" width="8.5" style="13" bestFit="1" customWidth="1"/>
    <col min="16" max="16" width="11.19921875" style="13" bestFit="1" customWidth="1"/>
    <col min="17" max="17" width="14.8984375" style="20" bestFit="1" customWidth="1"/>
    <col min="18" max="18" width="15.09765625" style="20" bestFit="1" customWidth="1"/>
    <col min="19" max="19" width="17" style="13" bestFit="1" customWidth="1"/>
    <col min="20" max="20" width="14.59765625" style="13" bestFit="1" customWidth="1"/>
    <col min="21" max="21" width="13.59765625" style="13" bestFit="1" customWidth="1"/>
    <col min="22" max="22" width="9.3984375" style="13" bestFit="1" customWidth="1"/>
    <col min="23" max="23" width="15.5" style="13" bestFit="1" customWidth="1"/>
    <col min="24" max="24" width="9.59765625" style="20" bestFit="1" customWidth="1"/>
    <col min="25" max="25" width="8.69921875" style="20" bestFit="1" customWidth="1"/>
    <col min="26" max="26" width="13.19921875" style="13" bestFit="1" customWidth="1"/>
    <col min="27" max="28" width="13.5" style="13" bestFit="1" customWidth="1"/>
    <col min="29" max="29" width="8" style="13" bestFit="1" customWidth="1"/>
    <col min="30" max="30" width="12.3984375" style="13" bestFit="1" customWidth="1"/>
    <col min="31" max="31" width="11.09765625" style="13" bestFit="1" customWidth="1"/>
    <col min="32" max="32" width="11" style="13" bestFit="1" customWidth="1"/>
    <col min="33" max="33" width="8.09765625" style="13" bestFit="1" customWidth="1"/>
    <col min="34" max="34" width="8.19921875" style="13" bestFit="1" customWidth="1"/>
    <col min="35" max="35" width="10.8984375" style="13" bestFit="1" customWidth="1"/>
    <col min="36" max="36" width="11" style="13" bestFit="1" customWidth="1"/>
    <col min="37" max="37" width="10.5" style="13" bestFit="1" customWidth="1"/>
    <col min="38" max="38" width="10.09765625" style="13" bestFit="1" customWidth="1"/>
    <col min="39" max="39" width="11.59765625" style="13" bestFit="1" customWidth="1"/>
    <col min="40" max="40" width="11.59765625" style="13" customWidth="1"/>
    <col min="41" max="41" width="5.59765625" style="13" bestFit="1" customWidth="1"/>
    <col min="42" max="42" width="100.09765625" style="13" bestFit="1" customWidth="1"/>
    <col min="43" max="43" width="125.19921875" style="13" bestFit="1" customWidth="1"/>
    <col min="44" max="44" width="21" style="13" bestFit="1" customWidth="1"/>
    <col min="45" max="45" width="51.09765625" style="13" bestFit="1" customWidth="1"/>
    <col min="46" max="46" width="4.69921875" bestFit="1" customWidth="1"/>
    <col min="47" max="47" width="5" style="20" bestFit="1" customWidth="1"/>
    <col min="48" max="16384" width="9" style="13"/>
  </cols>
  <sheetData>
    <row r="1" spans="1:53" x14ac:dyDescent="0.45">
      <c r="A1" s="10" t="s">
        <v>0</v>
      </c>
      <c r="B1" s="10" t="s">
        <v>1</v>
      </c>
      <c r="C1" s="10" t="s">
        <v>2</v>
      </c>
      <c r="D1" s="10" t="s">
        <v>3</v>
      </c>
      <c r="E1" s="10" t="s">
        <v>77</v>
      </c>
      <c r="F1" s="21" t="s">
        <v>507</v>
      </c>
      <c r="G1" s="21" t="s">
        <v>506</v>
      </c>
      <c r="H1" s="21" t="s">
        <v>7</v>
      </c>
      <c r="I1" s="21" t="s">
        <v>115</v>
      </c>
      <c r="J1" s="21" t="s">
        <v>116</v>
      </c>
      <c r="K1" s="21" t="s">
        <v>117</v>
      </c>
      <c r="L1" s="17" t="s">
        <v>4</v>
      </c>
      <c r="M1" s="17" t="s">
        <v>500</v>
      </c>
      <c r="N1" s="17" t="s">
        <v>501</v>
      </c>
      <c r="O1" s="17" t="s">
        <v>508</v>
      </c>
      <c r="P1" s="17" t="s">
        <v>92</v>
      </c>
      <c r="Q1" s="16" t="s">
        <v>118</v>
      </c>
      <c r="R1" s="16" t="s">
        <v>119</v>
      </c>
      <c r="S1" s="14" t="s">
        <v>86</v>
      </c>
      <c r="T1" s="14" t="s">
        <v>82</v>
      </c>
      <c r="U1" s="14" t="s">
        <v>83</v>
      </c>
      <c r="V1" s="14" t="s">
        <v>81</v>
      </c>
      <c r="W1" s="14" t="s">
        <v>175</v>
      </c>
      <c r="X1" s="16" t="s">
        <v>16</v>
      </c>
      <c r="Y1" s="16" t="s">
        <v>84</v>
      </c>
      <c r="Z1" s="1" t="s">
        <v>87</v>
      </c>
      <c r="AA1" s="1" t="s">
        <v>88</v>
      </c>
      <c r="AB1" s="1" t="s">
        <v>89</v>
      </c>
      <c r="AC1" s="1" t="s">
        <v>174</v>
      </c>
      <c r="AD1" s="1" t="s">
        <v>11</v>
      </c>
      <c r="AE1" s="7" t="s">
        <v>12</v>
      </c>
      <c r="AF1" s="7" t="s">
        <v>13</v>
      </c>
      <c r="AG1" s="7" t="s">
        <v>14</v>
      </c>
      <c r="AH1" s="7" t="s">
        <v>15</v>
      </c>
      <c r="AI1" s="4" t="s">
        <v>17</v>
      </c>
      <c r="AJ1" s="4" t="s">
        <v>503</v>
      </c>
      <c r="AK1" s="4" t="s">
        <v>504</v>
      </c>
      <c r="AL1" s="4" t="s">
        <v>18</v>
      </c>
      <c r="AM1" s="4" t="s">
        <v>19</v>
      </c>
      <c r="AN1" s="4" t="s">
        <v>502</v>
      </c>
      <c r="AO1" s="10" t="s">
        <v>20</v>
      </c>
      <c r="AP1" s="10" t="s">
        <v>91</v>
      </c>
      <c r="AQ1" s="10" t="s">
        <v>80</v>
      </c>
      <c r="AR1" s="10" t="s">
        <v>79</v>
      </c>
      <c r="AS1" s="10" t="s">
        <v>78</v>
      </c>
      <c r="AT1" s="86" t="s">
        <v>605</v>
      </c>
      <c r="AU1" s="20" t="s">
        <v>603</v>
      </c>
      <c r="AV1"/>
      <c r="AW1"/>
      <c r="AX1"/>
      <c r="AY1"/>
      <c r="AZ1"/>
      <c r="BA1"/>
    </row>
    <row r="2" spans="1:53" s="18" customFormat="1" x14ac:dyDescent="0.45">
      <c r="A2" s="51" t="s">
        <v>100</v>
      </c>
      <c r="B2" s="51" t="s">
        <v>101</v>
      </c>
      <c r="C2" s="51" t="s">
        <v>96</v>
      </c>
      <c r="D2" s="51" t="s">
        <v>102</v>
      </c>
      <c r="E2" s="12">
        <f>AB2</f>
        <v>130</v>
      </c>
      <c r="F2" s="23">
        <v>0.25</v>
      </c>
      <c r="G2" s="23">
        <v>8</v>
      </c>
      <c r="H2" s="23"/>
      <c r="I2" s="23"/>
      <c r="J2" s="23">
        <v>350</v>
      </c>
      <c r="K2" s="23">
        <v>600</v>
      </c>
      <c r="L2" s="25">
        <v>1.1000000000000001</v>
      </c>
      <c r="M2" s="25">
        <v>1</v>
      </c>
      <c r="N2" s="25">
        <v>1</v>
      </c>
      <c r="O2" s="25">
        <f>G2*M2*N2</f>
        <v>8</v>
      </c>
      <c r="P2" s="25">
        <v>3</v>
      </c>
      <c r="Q2" s="16">
        <v>120</v>
      </c>
      <c r="R2" s="16">
        <v>140</v>
      </c>
      <c r="S2" s="16">
        <v>130</v>
      </c>
      <c r="T2" s="16">
        <v>13</v>
      </c>
      <c r="U2" s="16">
        <v>10</v>
      </c>
      <c r="V2" s="16">
        <f>(T2+U2)/2</f>
        <v>11.5</v>
      </c>
      <c r="W2" s="52">
        <f t="shared" ref="W2:W7" si="0">V2/P2</f>
        <v>3.8333333333333335</v>
      </c>
      <c r="X2" s="16">
        <f>R2-Q2</f>
        <v>20</v>
      </c>
      <c r="Y2" s="16">
        <f>T2-U2</f>
        <v>3</v>
      </c>
      <c r="Z2" s="2">
        <v>120</v>
      </c>
      <c r="AA2" s="2">
        <v>140</v>
      </c>
      <c r="AB2" s="2">
        <f>(Z2+AA2)/2</f>
        <v>130</v>
      </c>
      <c r="AC2" s="2">
        <v>5</v>
      </c>
      <c r="AD2" s="2">
        <v>4</v>
      </c>
      <c r="AE2" s="9"/>
      <c r="AF2" s="9"/>
      <c r="AG2" s="9">
        <v>1.1220000000000001E-2</v>
      </c>
      <c r="AH2" s="9"/>
      <c r="AI2" s="6">
        <f>0.955*1</f>
        <v>0.95499999999999996</v>
      </c>
      <c r="AJ2" s="6"/>
      <c r="AK2" s="6"/>
      <c r="AL2" s="6" t="s">
        <v>35</v>
      </c>
      <c r="AM2" s="6" t="s">
        <v>509</v>
      </c>
      <c r="AN2" s="6" t="s">
        <v>510</v>
      </c>
      <c r="AO2" s="51">
        <v>2022</v>
      </c>
      <c r="AP2" s="51" t="s">
        <v>404</v>
      </c>
      <c r="AQ2" s="51" t="s">
        <v>132</v>
      </c>
      <c r="AR2" s="51" t="s">
        <v>133</v>
      </c>
      <c r="AS2" s="34" t="s">
        <v>403</v>
      </c>
      <c r="AT2" s="86">
        <v>1</v>
      </c>
      <c r="AU2" s="79" t="s">
        <v>71</v>
      </c>
      <c r="AV2" s="28"/>
      <c r="AW2" s="28"/>
      <c r="AX2" s="28"/>
      <c r="AY2" s="28"/>
      <c r="AZ2" s="28"/>
      <c r="BA2" s="28"/>
    </row>
    <row r="3" spans="1:53" s="18" customFormat="1" x14ac:dyDescent="0.45">
      <c r="A3" s="51" t="s">
        <v>98</v>
      </c>
      <c r="B3" s="51" t="s">
        <v>22</v>
      </c>
      <c r="C3" s="51" t="s">
        <v>96</v>
      </c>
      <c r="D3" s="51" t="s">
        <v>97</v>
      </c>
      <c r="E3" s="12">
        <f t="shared" ref="E3:E20" si="1">AB3</f>
        <v>206</v>
      </c>
      <c r="F3" s="23">
        <v>0.25</v>
      </c>
      <c r="G3" s="23">
        <v>3</v>
      </c>
      <c r="H3" s="23">
        <v>3000</v>
      </c>
      <c r="I3" s="23"/>
      <c r="J3" s="23"/>
      <c r="K3" s="23">
        <v>600</v>
      </c>
      <c r="L3" s="25">
        <v>1.6</v>
      </c>
      <c r="M3" s="25">
        <v>1</v>
      </c>
      <c r="N3" s="25">
        <v>1</v>
      </c>
      <c r="O3" s="25">
        <f>G3*M3*N3</f>
        <v>3</v>
      </c>
      <c r="P3" s="25">
        <v>4</v>
      </c>
      <c r="Q3" s="16">
        <v>200</v>
      </c>
      <c r="R3" s="16">
        <v>220</v>
      </c>
      <c r="S3" s="16">
        <v>200</v>
      </c>
      <c r="T3" s="16">
        <v>13.69</v>
      </c>
      <c r="U3" s="16">
        <v>10</v>
      </c>
      <c r="V3" s="52">
        <f t="shared" ref="V3:V6" si="2">(T3+U3)/2</f>
        <v>11.844999999999999</v>
      </c>
      <c r="W3" s="52">
        <f t="shared" si="0"/>
        <v>2.9612499999999997</v>
      </c>
      <c r="X3" s="16">
        <f t="shared" ref="X3:X18" si="3">R3-Q3</f>
        <v>20</v>
      </c>
      <c r="Y3" s="16">
        <f t="shared" ref="Y3:Y20" si="4">T3-U3</f>
        <v>3.6899999999999995</v>
      </c>
      <c r="Z3" s="2">
        <v>196</v>
      </c>
      <c r="AA3" s="2">
        <v>216</v>
      </c>
      <c r="AB3" s="2">
        <f>(Z3+AA3)/2</f>
        <v>206</v>
      </c>
      <c r="AC3" s="2">
        <v>7.2</v>
      </c>
      <c r="AD3" s="2"/>
      <c r="AE3" s="9">
        <v>0</v>
      </c>
      <c r="AF3" s="9"/>
      <c r="AG3" s="9">
        <v>1.9220000000000001E-2</v>
      </c>
      <c r="AH3" s="9"/>
      <c r="AI3" s="6"/>
      <c r="AJ3" s="6"/>
      <c r="AK3" s="6"/>
      <c r="AL3" s="6" t="s">
        <v>35</v>
      </c>
      <c r="AM3" s="6" t="s">
        <v>512</v>
      </c>
      <c r="AN3" s="53" t="s">
        <v>511</v>
      </c>
      <c r="AO3" s="51">
        <v>2021</v>
      </c>
      <c r="AP3" s="51" t="s">
        <v>401</v>
      </c>
      <c r="AQ3" s="51" t="s">
        <v>400</v>
      </c>
      <c r="AR3" s="51" t="s">
        <v>130</v>
      </c>
      <c r="AS3" s="34" t="s">
        <v>402</v>
      </c>
      <c r="AT3" s="86">
        <v>2</v>
      </c>
      <c r="AU3" s="79" t="s">
        <v>34</v>
      </c>
      <c r="AV3" s="28"/>
      <c r="AW3" s="28"/>
      <c r="AX3" s="28"/>
      <c r="AY3" s="28"/>
      <c r="AZ3" s="28"/>
      <c r="BA3" s="28"/>
    </row>
    <row r="4" spans="1:53" s="18" customFormat="1" x14ac:dyDescent="0.45">
      <c r="A4" s="51" t="s">
        <v>99</v>
      </c>
      <c r="B4" s="51" t="s">
        <v>22</v>
      </c>
      <c r="C4" s="51" t="s">
        <v>96</v>
      </c>
      <c r="D4" s="51" t="s">
        <v>97</v>
      </c>
      <c r="E4" s="12">
        <f t="shared" si="1"/>
        <v>206</v>
      </c>
      <c r="F4" s="23">
        <v>0.25</v>
      </c>
      <c r="G4" s="23">
        <v>5</v>
      </c>
      <c r="H4" s="23">
        <v>3000</v>
      </c>
      <c r="I4" s="23"/>
      <c r="J4" s="23"/>
      <c r="K4" s="23">
        <v>600</v>
      </c>
      <c r="L4" s="25">
        <v>1.5</v>
      </c>
      <c r="M4" s="25">
        <v>1</v>
      </c>
      <c r="N4" s="25">
        <v>1</v>
      </c>
      <c r="O4" s="25">
        <f>G4*M4*N4</f>
        <v>5</v>
      </c>
      <c r="P4" s="25">
        <v>2</v>
      </c>
      <c r="Q4" s="16">
        <v>200</v>
      </c>
      <c r="R4" s="16">
        <v>225</v>
      </c>
      <c r="S4" s="16">
        <v>200</v>
      </c>
      <c r="T4" s="16">
        <v>14.5</v>
      </c>
      <c r="U4" s="16">
        <v>10</v>
      </c>
      <c r="V4" s="16">
        <f t="shared" si="2"/>
        <v>12.25</v>
      </c>
      <c r="W4" s="52">
        <f t="shared" si="0"/>
        <v>6.125</v>
      </c>
      <c r="X4" s="16">
        <f t="shared" si="3"/>
        <v>25</v>
      </c>
      <c r="Y4" s="16">
        <f t="shared" si="4"/>
        <v>4.5</v>
      </c>
      <c r="Z4" s="2">
        <v>196</v>
      </c>
      <c r="AA4" s="2">
        <v>216</v>
      </c>
      <c r="AB4" s="2">
        <f t="shared" ref="AB4:AB20" si="5">(Z4+AA4)/2</f>
        <v>206</v>
      </c>
      <c r="AC4" s="2">
        <v>7.4</v>
      </c>
      <c r="AD4" s="2"/>
      <c r="AE4" s="9">
        <v>0</v>
      </c>
      <c r="AF4" s="9"/>
      <c r="AG4" s="9">
        <v>9.1999999999999998E-3</v>
      </c>
      <c r="AH4" s="9"/>
      <c r="AI4" s="6"/>
      <c r="AJ4" s="6"/>
      <c r="AK4" s="6"/>
      <c r="AL4" s="6" t="s">
        <v>35</v>
      </c>
      <c r="AM4" s="6" t="s">
        <v>513</v>
      </c>
      <c r="AN4" s="53" t="s">
        <v>511</v>
      </c>
      <c r="AO4" s="51">
        <v>2021</v>
      </c>
      <c r="AP4" s="51" t="s">
        <v>401</v>
      </c>
      <c r="AQ4" s="51" t="s">
        <v>129</v>
      </c>
      <c r="AR4" s="51" t="s">
        <v>131</v>
      </c>
      <c r="AS4" s="34" t="s">
        <v>402</v>
      </c>
      <c r="AT4" s="86">
        <v>2</v>
      </c>
      <c r="AU4" s="79" t="s">
        <v>34</v>
      </c>
      <c r="AV4" s="28"/>
      <c r="AW4" s="28"/>
      <c r="AX4" s="28"/>
      <c r="AY4" s="28"/>
      <c r="AZ4" s="28"/>
      <c r="BA4" s="28"/>
    </row>
    <row r="5" spans="1:53" s="18" customFormat="1" x14ac:dyDescent="0.45">
      <c r="A5" s="51" t="s">
        <v>103</v>
      </c>
      <c r="B5" s="51" t="s">
        <v>95</v>
      </c>
      <c r="C5" s="51" t="s">
        <v>104</v>
      </c>
      <c r="D5" s="51" t="s">
        <v>102</v>
      </c>
      <c r="E5" s="12">
        <f t="shared" si="1"/>
        <v>155</v>
      </c>
      <c r="F5" s="23">
        <v>0.5</v>
      </c>
      <c r="G5" s="23">
        <v>6</v>
      </c>
      <c r="H5" s="23"/>
      <c r="I5" s="23"/>
      <c r="J5" s="23">
        <v>360</v>
      </c>
      <c r="K5" s="23">
        <v>490</v>
      </c>
      <c r="L5" s="25"/>
      <c r="M5" s="25">
        <v>1</v>
      </c>
      <c r="N5" s="25">
        <v>2</v>
      </c>
      <c r="O5" s="25">
        <f>G5*M5*N5</f>
        <v>12</v>
      </c>
      <c r="P5" s="25">
        <v>2</v>
      </c>
      <c r="Q5" s="16">
        <v>140</v>
      </c>
      <c r="R5" s="16">
        <v>170</v>
      </c>
      <c r="S5" s="16">
        <v>148</v>
      </c>
      <c r="T5" s="16">
        <v>16</v>
      </c>
      <c r="U5" s="16">
        <v>10</v>
      </c>
      <c r="V5" s="16">
        <f t="shared" si="2"/>
        <v>13</v>
      </c>
      <c r="W5" s="52">
        <f t="shared" si="0"/>
        <v>6.5</v>
      </c>
      <c r="X5" s="16">
        <f t="shared" si="3"/>
        <v>30</v>
      </c>
      <c r="Y5" s="16">
        <f t="shared" si="4"/>
        <v>6</v>
      </c>
      <c r="Z5" s="2">
        <v>140</v>
      </c>
      <c r="AA5" s="2">
        <v>170</v>
      </c>
      <c r="AB5" s="2">
        <f t="shared" si="5"/>
        <v>155</v>
      </c>
      <c r="AC5" s="2">
        <f>(11+8.5)/2</f>
        <v>9.75</v>
      </c>
      <c r="AD5" s="2">
        <v>8.5</v>
      </c>
      <c r="AE5" s="9">
        <v>11</v>
      </c>
      <c r="AF5" s="9"/>
      <c r="AG5" s="9">
        <v>0.10299999999999999</v>
      </c>
      <c r="AH5" s="9">
        <v>11</v>
      </c>
      <c r="AI5" s="6">
        <f>1.6*1.1</f>
        <v>1.7600000000000002</v>
      </c>
      <c r="AJ5" s="6"/>
      <c r="AK5" s="6"/>
      <c r="AL5" s="6" t="s">
        <v>35</v>
      </c>
      <c r="AM5" s="6" t="s">
        <v>134</v>
      </c>
      <c r="AN5" s="6" t="s">
        <v>514</v>
      </c>
      <c r="AO5" s="51">
        <v>2021</v>
      </c>
      <c r="AP5" s="51" t="s">
        <v>406</v>
      </c>
      <c r="AQ5" s="51" t="s">
        <v>405</v>
      </c>
      <c r="AR5" s="51" t="s">
        <v>135</v>
      </c>
      <c r="AS5" s="34" t="s">
        <v>407</v>
      </c>
      <c r="AT5" s="86">
        <v>3</v>
      </c>
      <c r="AU5" s="79" t="s">
        <v>136</v>
      </c>
      <c r="AV5" s="28"/>
      <c r="AW5" s="28"/>
      <c r="AX5" s="28"/>
      <c r="AY5" s="28"/>
      <c r="AZ5" s="28"/>
      <c r="BA5" s="28"/>
    </row>
    <row r="6" spans="1:53" s="18" customFormat="1" x14ac:dyDescent="0.45">
      <c r="A6" s="51" t="s">
        <v>103</v>
      </c>
      <c r="B6" s="51" t="s">
        <v>95</v>
      </c>
      <c r="C6" s="51" t="s">
        <v>104</v>
      </c>
      <c r="D6" s="51" t="s">
        <v>61</v>
      </c>
      <c r="E6" s="12">
        <f t="shared" si="1"/>
        <v>90</v>
      </c>
      <c r="F6" s="23">
        <v>0.8</v>
      </c>
      <c r="G6" s="23">
        <v>6</v>
      </c>
      <c r="H6" s="23"/>
      <c r="I6" s="23"/>
      <c r="J6" s="23">
        <v>350</v>
      </c>
      <c r="K6" s="23">
        <v>350</v>
      </c>
      <c r="L6" s="25"/>
      <c r="M6" s="25">
        <v>1</v>
      </c>
      <c r="N6" s="25">
        <v>1</v>
      </c>
      <c r="O6" s="25">
        <f>G6*M6*N6</f>
        <v>6</v>
      </c>
      <c r="P6" s="25">
        <v>5</v>
      </c>
      <c r="Q6" s="16"/>
      <c r="R6" s="16"/>
      <c r="S6" s="16">
        <v>90</v>
      </c>
      <c r="T6" s="16">
        <v>34</v>
      </c>
      <c r="U6" s="16">
        <v>30</v>
      </c>
      <c r="V6" s="16">
        <f t="shared" si="2"/>
        <v>32</v>
      </c>
      <c r="W6" s="52">
        <f t="shared" si="0"/>
        <v>6.4</v>
      </c>
      <c r="X6" s="16"/>
      <c r="Y6" s="16">
        <f t="shared" si="4"/>
        <v>4</v>
      </c>
      <c r="Z6" s="2"/>
      <c r="AA6" s="2"/>
      <c r="AB6" s="2">
        <v>90</v>
      </c>
      <c r="AC6" s="2">
        <v>7</v>
      </c>
      <c r="AD6" s="2"/>
      <c r="AE6" s="9">
        <v>7</v>
      </c>
      <c r="AF6" s="9"/>
      <c r="AG6" s="9">
        <v>0.1</v>
      </c>
      <c r="AH6" s="9"/>
      <c r="AI6" s="6">
        <f>2.5*1.5</f>
        <v>3.75</v>
      </c>
      <c r="AJ6" s="6"/>
      <c r="AK6" s="6"/>
      <c r="AL6" s="6" t="s">
        <v>35</v>
      </c>
      <c r="AM6" s="6" t="s">
        <v>600</v>
      </c>
      <c r="AN6" s="53" t="s">
        <v>601</v>
      </c>
      <c r="AO6" s="51">
        <v>2020</v>
      </c>
      <c r="AP6" s="51" t="s">
        <v>602</v>
      </c>
      <c r="AQ6" s="51" t="s">
        <v>599</v>
      </c>
      <c r="AR6" s="51" t="s">
        <v>135</v>
      </c>
      <c r="AS6" s="75" t="s">
        <v>397</v>
      </c>
      <c r="AT6" s="86">
        <v>4</v>
      </c>
      <c r="AU6" s="20" t="s">
        <v>47</v>
      </c>
    </row>
    <row r="7" spans="1:53" s="18" customFormat="1" x14ac:dyDescent="0.45">
      <c r="A7" s="51" t="s">
        <v>105</v>
      </c>
      <c r="B7" s="51" t="s">
        <v>106</v>
      </c>
      <c r="C7" s="51" t="s">
        <v>96</v>
      </c>
      <c r="D7" s="51" t="s">
        <v>102</v>
      </c>
      <c r="E7" s="12">
        <f t="shared" si="1"/>
        <v>128</v>
      </c>
      <c r="F7" s="23">
        <v>0.25</v>
      </c>
      <c r="G7" s="23"/>
      <c r="H7" s="23"/>
      <c r="I7" s="23"/>
      <c r="J7" s="23">
        <v>350</v>
      </c>
      <c r="K7" s="23">
        <v>650</v>
      </c>
      <c r="L7" s="25"/>
      <c r="M7" s="25"/>
      <c r="N7" s="25"/>
      <c r="O7" s="25"/>
      <c r="P7" s="25">
        <v>3</v>
      </c>
      <c r="Q7" s="16">
        <v>110</v>
      </c>
      <c r="R7" s="16">
        <v>145</v>
      </c>
      <c r="S7" s="16">
        <v>117</v>
      </c>
      <c r="T7" s="16">
        <v>25</v>
      </c>
      <c r="U7" s="16">
        <v>20</v>
      </c>
      <c r="V7" s="55">
        <v>23</v>
      </c>
      <c r="W7" s="52">
        <f t="shared" si="0"/>
        <v>7.666666666666667</v>
      </c>
      <c r="X7" s="16">
        <f t="shared" si="3"/>
        <v>35</v>
      </c>
      <c r="Y7" s="16">
        <f t="shared" si="4"/>
        <v>5</v>
      </c>
      <c r="Z7" s="2">
        <v>111</v>
      </c>
      <c r="AA7" s="2">
        <v>145</v>
      </c>
      <c r="AB7" s="2">
        <f t="shared" si="5"/>
        <v>128</v>
      </c>
      <c r="AC7" s="2">
        <v>10.6</v>
      </c>
      <c r="AD7" s="2">
        <v>8.4</v>
      </c>
      <c r="AE7" s="9"/>
      <c r="AF7" s="9"/>
      <c r="AG7" s="9">
        <v>0.44</v>
      </c>
      <c r="AH7" s="9"/>
      <c r="AI7" s="6">
        <f>1.6*1.6</f>
        <v>2.5600000000000005</v>
      </c>
      <c r="AJ7" s="6"/>
      <c r="AK7" s="56"/>
      <c r="AL7" s="6" t="s">
        <v>123</v>
      </c>
      <c r="AM7" s="56" t="s">
        <v>509</v>
      </c>
      <c r="AN7" s="54" t="s">
        <v>612</v>
      </c>
      <c r="AO7" s="51">
        <v>2019</v>
      </c>
      <c r="AP7" s="12" t="s">
        <v>409</v>
      </c>
      <c r="AQ7" s="51" t="s">
        <v>408</v>
      </c>
      <c r="AR7" s="51" t="s">
        <v>137</v>
      </c>
      <c r="AS7" s="34" t="s">
        <v>410</v>
      </c>
      <c r="AT7" s="86">
        <v>5</v>
      </c>
      <c r="AU7" s="20" t="s">
        <v>138</v>
      </c>
    </row>
    <row r="8" spans="1:53" s="18" customFormat="1" x14ac:dyDescent="0.45">
      <c r="A8" s="12" t="s">
        <v>107</v>
      </c>
      <c r="B8" s="12" t="s">
        <v>95</v>
      </c>
      <c r="C8" s="12" t="s">
        <v>104</v>
      </c>
      <c r="D8" s="12" t="s">
        <v>102</v>
      </c>
      <c r="E8" s="12">
        <v>130</v>
      </c>
      <c r="F8" s="23">
        <v>0.5</v>
      </c>
      <c r="G8" s="23">
        <v>6</v>
      </c>
      <c r="H8" s="23"/>
      <c r="I8" s="23"/>
      <c r="J8" s="23">
        <v>360</v>
      </c>
      <c r="K8" s="23">
        <v>490</v>
      </c>
      <c r="L8" s="25"/>
      <c r="M8" s="25">
        <v>1</v>
      </c>
      <c r="N8" s="25">
        <v>5</v>
      </c>
      <c r="O8" s="25">
        <f>G8*M8*N8</f>
        <v>30</v>
      </c>
      <c r="P8" s="25">
        <v>3</v>
      </c>
      <c r="Q8" s="16">
        <v>0</v>
      </c>
      <c r="R8" s="16">
        <v>170</v>
      </c>
      <c r="S8" s="16">
        <v>100</v>
      </c>
      <c r="T8" s="16">
        <v>13</v>
      </c>
      <c r="U8" s="16">
        <v>10</v>
      </c>
      <c r="V8" s="55">
        <v>12</v>
      </c>
      <c r="W8" s="52"/>
      <c r="X8" s="16">
        <f t="shared" si="3"/>
        <v>170</v>
      </c>
      <c r="Y8" s="16">
        <f t="shared" si="4"/>
        <v>3</v>
      </c>
      <c r="Z8" s="2">
        <v>110</v>
      </c>
      <c r="AA8" s="2">
        <v>150</v>
      </c>
      <c r="AB8" s="2">
        <f t="shared" si="5"/>
        <v>130</v>
      </c>
      <c r="AC8" s="2">
        <f>(10+14.6)/2</f>
        <v>12.3</v>
      </c>
      <c r="AD8" s="2">
        <v>10</v>
      </c>
      <c r="AE8" s="57">
        <v>10</v>
      </c>
      <c r="AF8" s="9" t="s">
        <v>120</v>
      </c>
      <c r="AG8" s="9">
        <v>0.18</v>
      </c>
      <c r="AH8" s="9">
        <v>6</v>
      </c>
      <c r="AI8" s="6">
        <f>0.65*1.5</f>
        <v>0.97500000000000009</v>
      </c>
      <c r="AJ8" s="6"/>
      <c r="AK8" s="56"/>
      <c r="AL8" s="6" t="s">
        <v>35</v>
      </c>
      <c r="AM8" s="56" t="s">
        <v>139</v>
      </c>
      <c r="AN8" s="56"/>
      <c r="AO8" s="12">
        <v>2019</v>
      </c>
      <c r="AP8" s="12" t="s">
        <v>412</v>
      </c>
      <c r="AQ8" s="12" t="s">
        <v>411</v>
      </c>
      <c r="AR8" s="12" t="s">
        <v>140</v>
      </c>
      <c r="AS8" s="34" t="s">
        <v>413</v>
      </c>
      <c r="AT8" s="86">
        <v>6</v>
      </c>
      <c r="AU8" s="20" t="s">
        <v>141</v>
      </c>
    </row>
    <row r="9" spans="1:53" s="18" customFormat="1" x14ac:dyDescent="0.45">
      <c r="A9" s="51" t="s">
        <v>94</v>
      </c>
      <c r="B9" s="51" t="s">
        <v>95</v>
      </c>
      <c r="C9" s="51" t="s">
        <v>96</v>
      </c>
      <c r="D9" s="51" t="s">
        <v>97</v>
      </c>
      <c r="E9" s="12">
        <f>AB9</f>
        <v>180</v>
      </c>
      <c r="F9" s="23">
        <v>0.25</v>
      </c>
      <c r="G9" s="23">
        <v>6</v>
      </c>
      <c r="H9" s="23"/>
      <c r="I9" s="23"/>
      <c r="J9" s="23"/>
      <c r="K9" s="23">
        <v>600</v>
      </c>
      <c r="L9" s="25"/>
      <c r="M9" s="25">
        <v>1</v>
      </c>
      <c r="N9" s="25">
        <v>1</v>
      </c>
      <c r="O9" s="25">
        <f>G9*M9*N9</f>
        <v>6</v>
      </c>
      <c r="P9" s="25">
        <v>2</v>
      </c>
      <c r="Q9" s="16">
        <v>140</v>
      </c>
      <c r="R9" s="16">
        <v>220</v>
      </c>
      <c r="S9" s="16"/>
      <c r="T9" s="16">
        <v>17.7</v>
      </c>
      <c r="U9" s="16">
        <v>14.2</v>
      </c>
      <c r="V9" s="16">
        <f>(T9+U9)/2</f>
        <v>15.95</v>
      </c>
      <c r="W9" s="52">
        <f>V9/P9</f>
        <v>7.9749999999999996</v>
      </c>
      <c r="X9" s="16">
        <f>R9-Q9</f>
        <v>80</v>
      </c>
      <c r="Y9" s="16">
        <f>T9-U9</f>
        <v>3.5</v>
      </c>
      <c r="Z9" s="2">
        <v>140</v>
      </c>
      <c r="AA9" s="2">
        <v>220</v>
      </c>
      <c r="AB9" s="2">
        <f>(Z9+AA9)/2</f>
        <v>180</v>
      </c>
      <c r="AC9" s="2">
        <v>7.5</v>
      </c>
      <c r="AD9" s="2"/>
      <c r="AE9" s="9">
        <v>5</v>
      </c>
      <c r="AF9" s="9"/>
      <c r="AG9" s="9">
        <v>4.8000000000000001E-2</v>
      </c>
      <c r="AH9" s="9"/>
      <c r="AI9" s="6">
        <f>0.7*0.6</f>
        <v>0.42</v>
      </c>
      <c r="AJ9" s="6"/>
      <c r="AK9" s="6"/>
      <c r="AL9" s="6" t="s">
        <v>35</v>
      </c>
      <c r="AM9" s="6" t="s">
        <v>125</v>
      </c>
      <c r="AN9" s="6" t="s">
        <v>515</v>
      </c>
      <c r="AO9" s="51">
        <v>2019</v>
      </c>
      <c r="AP9" s="51" t="s">
        <v>399</v>
      </c>
      <c r="AQ9" s="51" t="s">
        <v>398</v>
      </c>
      <c r="AR9" s="51" t="s">
        <v>126</v>
      </c>
      <c r="AS9" s="12" t="s">
        <v>397</v>
      </c>
      <c r="AT9" s="86">
        <v>7</v>
      </c>
      <c r="AU9" s="79" t="s">
        <v>127</v>
      </c>
      <c r="AV9" s="28"/>
      <c r="AW9" s="28"/>
      <c r="AX9" s="28"/>
      <c r="AY9" s="28"/>
      <c r="AZ9" s="28"/>
      <c r="BA9" s="28"/>
    </row>
    <row r="10" spans="1:53" s="18" customFormat="1" x14ac:dyDescent="0.45">
      <c r="A10" s="51" t="s">
        <v>108</v>
      </c>
      <c r="B10" s="51" t="s">
        <v>109</v>
      </c>
      <c r="C10" s="51" t="s">
        <v>96</v>
      </c>
      <c r="D10" s="51" t="s">
        <v>590</v>
      </c>
      <c r="E10" s="12">
        <f t="shared" si="1"/>
        <v>577</v>
      </c>
      <c r="F10" s="23">
        <v>0.13</v>
      </c>
      <c r="G10" s="23"/>
      <c r="H10" s="23"/>
      <c r="I10" s="23"/>
      <c r="J10" s="23">
        <v>521</v>
      </c>
      <c r="K10" s="23">
        <v>1150</v>
      </c>
      <c r="L10" s="25"/>
      <c r="M10" s="25"/>
      <c r="N10" s="25"/>
      <c r="O10" s="25"/>
      <c r="P10" s="25"/>
      <c r="Q10" s="16">
        <v>570</v>
      </c>
      <c r="R10" s="16">
        <v>583</v>
      </c>
      <c r="S10" s="16"/>
      <c r="T10" s="16">
        <v>19.7</v>
      </c>
      <c r="U10" s="16">
        <v>13</v>
      </c>
      <c r="V10" s="16">
        <f t="shared" ref="V10:V15" si="6">(T10+U10)/2</f>
        <v>16.350000000000001</v>
      </c>
      <c r="W10" s="52"/>
      <c r="X10" s="16">
        <f t="shared" si="3"/>
        <v>13</v>
      </c>
      <c r="Y10" s="16">
        <f t="shared" si="4"/>
        <v>6.6999999999999993</v>
      </c>
      <c r="Z10" s="2">
        <v>570</v>
      </c>
      <c r="AA10" s="2">
        <v>583</v>
      </c>
      <c r="AB10" s="2">
        <v>577</v>
      </c>
      <c r="AC10" s="2">
        <v>16</v>
      </c>
      <c r="AD10" s="2"/>
      <c r="AE10" s="57"/>
      <c r="AF10" s="9"/>
      <c r="AG10" s="9">
        <v>0.5</v>
      </c>
      <c r="AH10" s="9"/>
      <c r="AI10" s="6">
        <f>2.4*0.45</f>
        <v>1.08</v>
      </c>
      <c r="AJ10" s="6"/>
      <c r="AK10" s="56"/>
      <c r="AL10" s="6" t="s">
        <v>35</v>
      </c>
      <c r="AM10" s="56" t="s">
        <v>142</v>
      </c>
      <c r="AN10" s="54" t="s">
        <v>516</v>
      </c>
      <c r="AO10" s="51">
        <v>2017</v>
      </c>
      <c r="AP10" s="51" t="s">
        <v>415</v>
      </c>
      <c r="AQ10" s="51" t="s">
        <v>414</v>
      </c>
      <c r="AR10" s="51" t="s">
        <v>143</v>
      </c>
      <c r="AS10" s="34" t="s">
        <v>416</v>
      </c>
      <c r="AT10" s="86">
        <v>8</v>
      </c>
      <c r="AU10" s="79" t="s">
        <v>144</v>
      </c>
      <c r="AV10" s="28"/>
      <c r="AW10" s="28"/>
      <c r="AX10" s="28"/>
      <c r="AY10" s="28"/>
      <c r="AZ10" s="28"/>
      <c r="BA10" s="28"/>
    </row>
    <row r="11" spans="1:53" s="18" customFormat="1" x14ac:dyDescent="0.45">
      <c r="A11" s="51" t="s">
        <v>98</v>
      </c>
      <c r="B11" s="51" t="s">
        <v>22</v>
      </c>
      <c r="C11" s="51" t="s">
        <v>96</v>
      </c>
      <c r="D11" s="51" t="s">
        <v>61</v>
      </c>
      <c r="E11" s="12">
        <f>AB11</f>
        <v>94.5</v>
      </c>
      <c r="F11" s="23">
        <v>0.13</v>
      </c>
      <c r="G11" s="23">
        <v>2</v>
      </c>
      <c r="H11" s="23"/>
      <c r="I11" s="23"/>
      <c r="J11" s="23">
        <v>520</v>
      </c>
      <c r="K11" s="23">
        <v>1100</v>
      </c>
      <c r="L11" s="25"/>
      <c r="M11" s="25">
        <v>1</v>
      </c>
      <c r="N11" s="25">
        <v>1</v>
      </c>
      <c r="O11" s="25">
        <f>G11*M11*N11</f>
        <v>2</v>
      </c>
      <c r="P11" s="25">
        <v>2</v>
      </c>
      <c r="Q11" s="16">
        <v>92</v>
      </c>
      <c r="R11" s="16">
        <v>110</v>
      </c>
      <c r="S11" s="16">
        <v>94</v>
      </c>
      <c r="T11" s="16">
        <v>21</v>
      </c>
      <c r="U11" s="16">
        <v>18</v>
      </c>
      <c r="V11" s="16">
        <f>(T11+U11)/2</f>
        <v>19.5</v>
      </c>
      <c r="W11" s="52">
        <f t="shared" ref="W11:W21" si="7">V11/P11</f>
        <v>9.75</v>
      </c>
      <c r="X11" s="16">
        <f>R11-Q11</f>
        <v>18</v>
      </c>
      <c r="Y11" s="16">
        <f>T11-U11</f>
        <v>3</v>
      </c>
      <c r="Z11" s="2">
        <v>94</v>
      </c>
      <c r="AA11" s="2">
        <v>95</v>
      </c>
      <c r="AB11" s="2">
        <f>(Z11+AA11)/2</f>
        <v>94.5</v>
      </c>
      <c r="AC11" s="2">
        <v>9.3000000000000007</v>
      </c>
      <c r="AD11" s="2"/>
      <c r="AE11" s="9">
        <v>0</v>
      </c>
      <c r="AF11" s="9"/>
      <c r="AG11" s="9"/>
      <c r="AH11" s="9"/>
      <c r="AI11" s="6">
        <f>1.77*1.55</f>
        <v>2.7435</v>
      </c>
      <c r="AJ11" s="6"/>
      <c r="AK11" s="6"/>
      <c r="AL11" s="6" t="s">
        <v>35</v>
      </c>
      <c r="AM11" s="6" t="s">
        <v>173</v>
      </c>
      <c r="AN11" s="6" t="s">
        <v>517</v>
      </c>
      <c r="AO11" s="51">
        <v>2017</v>
      </c>
      <c r="AP11" s="51" t="s">
        <v>431</v>
      </c>
      <c r="AQ11" s="51" t="s">
        <v>165</v>
      </c>
      <c r="AR11" s="51" t="s">
        <v>166</v>
      </c>
      <c r="AS11" s="34" t="s">
        <v>432</v>
      </c>
      <c r="AT11" s="86">
        <v>9</v>
      </c>
      <c r="AU11" s="79" t="s">
        <v>167</v>
      </c>
      <c r="AV11" s="28"/>
      <c r="AW11" s="28"/>
      <c r="AX11" s="28"/>
      <c r="AY11" s="28"/>
      <c r="AZ11" s="28"/>
      <c r="BA11" s="28"/>
    </row>
    <row r="12" spans="1:53" s="18" customFormat="1" x14ac:dyDescent="0.45">
      <c r="A12" s="51" t="s">
        <v>114</v>
      </c>
      <c r="B12" s="51" t="s">
        <v>22</v>
      </c>
      <c r="C12" s="51" t="s">
        <v>96</v>
      </c>
      <c r="D12" s="51" t="s">
        <v>61</v>
      </c>
      <c r="E12" s="12">
        <f>AB12</f>
        <v>95</v>
      </c>
      <c r="F12" s="23">
        <v>0.13</v>
      </c>
      <c r="G12" s="23">
        <v>5</v>
      </c>
      <c r="H12" s="23"/>
      <c r="I12" s="23"/>
      <c r="J12" s="23">
        <v>520</v>
      </c>
      <c r="K12" s="23">
        <v>1100</v>
      </c>
      <c r="L12" s="25"/>
      <c r="M12" s="25">
        <v>4</v>
      </c>
      <c r="N12" s="25">
        <v>1</v>
      </c>
      <c r="O12" s="25">
        <f>G12*M12*N12</f>
        <v>20</v>
      </c>
      <c r="P12" s="25">
        <v>1</v>
      </c>
      <c r="Q12" s="16"/>
      <c r="R12" s="16"/>
      <c r="S12" s="16">
        <v>100</v>
      </c>
      <c r="T12" s="16">
        <v>9.4</v>
      </c>
      <c r="U12" s="16"/>
      <c r="V12" s="16">
        <v>6.4</v>
      </c>
      <c r="W12" s="52">
        <f t="shared" si="7"/>
        <v>6.4</v>
      </c>
      <c r="X12" s="16">
        <f>R12-Q12</f>
        <v>0</v>
      </c>
      <c r="Y12" s="16">
        <f>T12-U12</f>
        <v>9.4</v>
      </c>
      <c r="Z12" s="2">
        <v>94</v>
      </c>
      <c r="AA12" s="2">
        <v>95</v>
      </c>
      <c r="AB12" s="2">
        <v>95</v>
      </c>
      <c r="AC12" s="2">
        <v>6.8</v>
      </c>
      <c r="AD12" s="2"/>
      <c r="AE12" s="9"/>
      <c r="AF12" s="9"/>
      <c r="AG12" s="9"/>
      <c r="AH12" s="9"/>
      <c r="AI12" s="6">
        <f>1.1*0.72</f>
        <v>0.79200000000000004</v>
      </c>
      <c r="AJ12" s="6"/>
      <c r="AK12" s="6"/>
      <c r="AL12" s="6" t="s">
        <v>35</v>
      </c>
      <c r="AM12" s="6"/>
      <c r="AN12" s="6" t="s">
        <v>518</v>
      </c>
      <c r="AO12" s="51">
        <v>2016</v>
      </c>
      <c r="AP12" s="51" t="s">
        <v>341</v>
      </c>
      <c r="AQ12" s="51" t="s">
        <v>169</v>
      </c>
      <c r="AR12" s="51" t="s">
        <v>170</v>
      </c>
      <c r="AS12" s="34" t="s">
        <v>433</v>
      </c>
      <c r="AT12" s="86">
        <v>10</v>
      </c>
      <c r="AU12" s="79" t="s">
        <v>171</v>
      </c>
      <c r="AV12" s="28"/>
      <c r="AW12" s="28"/>
      <c r="AX12" s="28"/>
      <c r="AY12" s="28"/>
      <c r="AZ12" s="28"/>
      <c r="BA12" s="28"/>
    </row>
    <row r="13" spans="1:53" s="18" customFormat="1" x14ac:dyDescent="0.45">
      <c r="A13" s="51" t="s">
        <v>110</v>
      </c>
      <c r="B13" s="51" t="s">
        <v>109</v>
      </c>
      <c r="C13" s="51" t="s">
        <v>96</v>
      </c>
      <c r="D13" s="51" t="s">
        <v>111</v>
      </c>
      <c r="E13" s="12">
        <f t="shared" si="1"/>
        <v>300</v>
      </c>
      <c r="F13" s="23">
        <v>0.25</v>
      </c>
      <c r="G13" s="23"/>
      <c r="H13" s="23"/>
      <c r="I13" s="23"/>
      <c r="J13" s="23">
        <v>350</v>
      </c>
      <c r="K13" s="23">
        <v>650</v>
      </c>
      <c r="L13" s="25"/>
      <c r="M13" s="25"/>
      <c r="N13" s="25"/>
      <c r="O13" s="25"/>
      <c r="P13" s="25">
        <v>5</v>
      </c>
      <c r="Q13" s="16">
        <v>280</v>
      </c>
      <c r="R13" s="16">
        <v>300</v>
      </c>
      <c r="S13" s="16"/>
      <c r="T13" s="16">
        <v>26</v>
      </c>
      <c r="U13" s="16">
        <v>23</v>
      </c>
      <c r="V13" s="16">
        <f t="shared" si="6"/>
        <v>24.5</v>
      </c>
      <c r="W13" s="52">
        <f t="shared" si="7"/>
        <v>4.9000000000000004</v>
      </c>
      <c r="X13" s="16">
        <f t="shared" si="3"/>
        <v>20</v>
      </c>
      <c r="Y13" s="16">
        <f t="shared" si="4"/>
        <v>3</v>
      </c>
      <c r="Z13" s="2"/>
      <c r="AA13" s="2"/>
      <c r="AB13" s="2">
        <v>300</v>
      </c>
      <c r="AC13" s="2">
        <f>(12+16.3)/2</f>
        <v>14.15</v>
      </c>
      <c r="AD13" s="2">
        <v>12</v>
      </c>
      <c r="AE13" s="58"/>
      <c r="AF13" s="9"/>
      <c r="AG13" s="9"/>
      <c r="AH13" s="9"/>
      <c r="AI13" s="6">
        <v>1.32</v>
      </c>
      <c r="AJ13" s="6"/>
      <c r="AK13" s="56"/>
      <c r="AL13" s="6" t="s">
        <v>35</v>
      </c>
      <c r="AM13" s="56" t="s">
        <v>520</v>
      </c>
      <c r="AN13" s="56" t="s">
        <v>519</v>
      </c>
      <c r="AO13" s="51">
        <v>2015</v>
      </c>
      <c r="AP13" s="51" t="s">
        <v>418</v>
      </c>
      <c r="AQ13" s="51" t="s">
        <v>417</v>
      </c>
      <c r="AR13" s="51" t="s">
        <v>420</v>
      </c>
      <c r="AS13" s="34" t="s">
        <v>419</v>
      </c>
      <c r="AT13" s="86">
        <v>11</v>
      </c>
      <c r="AU13" s="79" t="s">
        <v>145</v>
      </c>
      <c r="AV13" s="28"/>
      <c r="AW13" s="28"/>
      <c r="AX13" s="28"/>
      <c r="AY13" s="28"/>
      <c r="AZ13" s="28"/>
      <c r="BA13" s="28"/>
    </row>
    <row r="14" spans="1:53" s="18" customFormat="1" x14ac:dyDescent="0.45">
      <c r="A14" s="51" t="s">
        <v>105</v>
      </c>
      <c r="B14" s="51" t="s">
        <v>106</v>
      </c>
      <c r="C14" s="51" t="s">
        <v>96</v>
      </c>
      <c r="D14" s="51" t="s">
        <v>97</v>
      </c>
      <c r="E14" s="12">
        <f t="shared" si="1"/>
        <v>195</v>
      </c>
      <c r="F14" s="23">
        <v>0.25</v>
      </c>
      <c r="G14" s="23">
        <v>4</v>
      </c>
      <c r="H14" s="23"/>
      <c r="I14" s="23"/>
      <c r="J14" s="23">
        <v>350</v>
      </c>
      <c r="K14" s="23">
        <v>650</v>
      </c>
      <c r="L14" s="25">
        <v>2.2000000000000002</v>
      </c>
      <c r="M14" s="25">
        <v>1</v>
      </c>
      <c r="N14" s="25">
        <v>1</v>
      </c>
      <c r="O14" s="25">
        <f>G14*M14*N14</f>
        <v>4</v>
      </c>
      <c r="P14" s="25">
        <v>5</v>
      </c>
      <c r="Q14" s="16">
        <v>155</v>
      </c>
      <c r="R14" s="16">
        <v>270</v>
      </c>
      <c r="S14" s="16">
        <v>245</v>
      </c>
      <c r="T14" s="16">
        <v>24</v>
      </c>
      <c r="U14" s="16">
        <v>10</v>
      </c>
      <c r="V14" s="16">
        <f t="shared" si="6"/>
        <v>17</v>
      </c>
      <c r="W14" s="52">
        <f t="shared" si="7"/>
        <v>3.4</v>
      </c>
      <c r="X14" s="16">
        <f t="shared" si="3"/>
        <v>115</v>
      </c>
      <c r="Y14" s="16">
        <f t="shared" si="4"/>
        <v>14</v>
      </c>
      <c r="Z14" s="2">
        <v>155</v>
      </c>
      <c r="AA14" s="2">
        <v>205</v>
      </c>
      <c r="AB14" s="2">
        <v>195</v>
      </c>
      <c r="AC14" s="2">
        <v>9.6999999999999993</v>
      </c>
      <c r="AD14" s="2">
        <v>9.6999999999999993</v>
      </c>
      <c r="AE14" s="57"/>
      <c r="AF14" s="9"/>
      <c r="AG14" s="9"/>
      <c r="AH14" s="9"/>
      <c r="AI14" s="59">
        <f>1.68*0.56</f>
        <v>0.94080000000000008</v>
      </c>
      <c r="AJ14" s="59"/>
      <c r="AK14" s="56" t="s">
        <v>121</v>
      </c>
      <c r="AL14" s="6" t="s">
        <v>123</v>
      </c>
      <c r="AM14" s="56" t="s">
        <v>128</v>
      </c>
      <c r="AN14" s="56" t="s">
        <v>521</v>
      </c>
      <c r="AO14" s="51">
        <v>2015</v>
      </c>
      <c r="AP14" s="51" t="s">
        <v>425</v>
      </c>
      <c r="AQ14" s="51" t="s">
        <v>153</v>
      </c>
      <c r="AR14" s="51" t="s">
        <v>151</v>
      </c>
      <c r="AS14" s="34" t="s">
        <v>426</v>
      </c>
      <c r="AT14" s="86">
        <v>12</v>
      </c>
      <c r="AU14" s="79" t="s">
        <v>64</v>
      </c>
      <c r="AV14" s="28"/>
      <c r="AW14" s="28"/>
      <c r="AX14" s="28"/>
      <c r="AY14" s="28"/>
      <c r="AZ14" s="28"/>
      <c r="BA14" s="28"/>
    </row>
    <row r="15" spans="1:53" s="18" customFormat="1" x14ac:dyDescent="0.45">
      <c r="A15" s="12" t="s">
        <v>112</v>
      </c>
      <c r="B15" s="51" t="s">
        <v>106</v>
      </c>
      <c r="C15" s="51" t="s">
        <v>96</v>
      </c>
      <c r="D15" s="51" t="s">
        <v>111</v>
      </c>
      <c r="E15" s="12">
        <f t="shared" si="1"/>
        <v>240</v>
      </c>
      <c r="F15" s="23">
        <v>0.25</v>
      </c>
      <c r="G15" s="23">
        <v>4</v>
      </c>
      <c r="H15" s="23"/>
      <c r="I15" s="23"/>
      <c r="J15" s="23">
        <v>350</v>
      </c>
      <c r="K15" s="23">
        <v>650</v>
      </c>
      <c r="L15" s="25">
        <v>2.2000000000000002</v>
      </c>
      <c r="M15" s="25">
        <v>1</v>
      </c>
      <c r="N15" s="25">
        <v>1</v>
      </c>
      <c r="O15" s="25">
        <f>G15*M15*N15</f>
        <v>4</v>
      </c>
      <c r="P15" s="25">
        <v>5</v>
      </c>
      <c r="Q15" s="16">
        <v>210</v>
      </c>
      <c r="R15" s="16">
        <v>290</v>
      </c>
      <c r="S15" s="16"/>
      <c r="T15" s="16">
        <v>19</v>
      </c>
      <c r="U15" s="16">
        <v>10</v>
      </c>
      <c r="V15" s="16">
        <f t="shared" si="6"/>
        <v>14.5</v>
      </c>
      <c r="W15" s="52">
        <f t="shared" si="7"/>
        <v>2.9</v>
      </c>
      <c r="X15" s="16">
        <f t="shared" si="3"/>
        <v>80</v>
      </c>
      <c r="Y15" s="16">
        <f t="shared" si="4"/>
        <v>9</v>
      </c>
      <c r="Z15" s="2">
        <v>235</v>
      </c>
      <c r="AA15" s="2">
        <v>330</v>
      </c>
      <c r="AB15" s="2">
        <v>240</v>
      </c>
      <c r="AC15" s="2">
        <v>10.8</v>
      </c>
      <c r="AD15" s="2">
        <v>10.8</v>
      </c>
      <c r="AE15" s="9"/>
      <c r="AF15" s="9"/>
      <c r="AG15" s="9"/>
      <c r="AH15" s="9"/>
      <c r="AI15" s="59">
        <f>1.68*0.56</f>
        <v>0.94080000000000008</v>
      </c>
      <c r="AJ15" s="59"/>
      <c r="AK15" s="56" t="s">
        <v>122</v>
      </c>
      <c r="AL15" s="6" t="s">
        <v>123</v>
      </c>
      <c r="AM15" s="56" t="s">
        <v>128</v>
      </c>
      <c r="AN15" s="56"/>
      <c r="AO15" s="51">
        <v>2015</v>
      </c>
      <c r="AP15" s="51" t="s">
        <v>425</v>
      </c>
      <c r="AQ15" s="51" t="s">
        <v>153</v>
      </c>
      <c r="AR15" s="51" t="s">
        <v>151</v>
      </c>
      <c r="AS15" s="34" t="s">
        <v>426</v>
      </c>
      <c r="AT15" s="86">
        <v>12</v>
      </c>
      <c r="AU15" s="79" t="s">
        <v>64</v>
      </c>
      <c r="AV15" s="28"/>
      <c r="AW15" s="28"/>
      <c r="AX15" s="28"/>
      <c r="AY15" s="28"/>
      <c r="AZ15" s="28"/>
      <c r="BA15" s="28"/>
    </row>
    <row r="16" spans="1:53" s="18" customFormat="1" x14ac:dyDescent="0.45">
      <c r="A16" s="12" t="s">
        <v>105</v>
      </c>
      <c r="B16" s="51" t="s">
        <v>106</v>
      </c>
      <c r="C16" s="51" t="s">
        <v>96</v>
      </c>
      <c r="D16" s="51" t="s">
        <v>556</v>
      </c>
      <c r="E16" s="12">
        <f t="shared" si="1"/>
        <v>75</v>
      </c>
      <c r="F16" s="23">
        <v>0.25</v>
      </c>
      <c r="G16" s="23"/>
      <c r="H16" s="23"/>
      <c r="I16" s="23"/>
      <c r="J16" s="23">
        <v>350</v>
      </c>
      <c r="K16" s="23">
        <v>650</v>
      </c>
      <c r="L16" s="25"/>
      <c r="M16" s="25"/>
      <c r="N16" s="25"/>
      <c r="O16" s="25"/>
      <c r="P16" s="25">
        <v>3</v>
      </c>
      <c r="Q16" s="16">
        <v>6.9999999999999999E-6</v>
      </c>
      <c r="R16" s="16">
        <v>180</v>
      </c>
      <c r="S16" s="16"/>
      <c r="T16" s="16">
        <v>15.6</v>
      </c>
      <c r="U16" s="16">
        <v>10</v>
      </c>
      <c r="V16" s="55">
        <v>12.8</v>
      </c>
      <c r="W16" s="52">
        <f t="shared" si="7"/>
        <v>4.2666666666666666</v>
      </c>
      <c r="X16" s="16">
        <f t="shared" si="3"/>
        <v>179.99999299999999</v>
      </c>
      <c r="Y16" s="16">
        <f t="shared" si="4"/>
        <v>5.6</v>
      </c>
      <c r="Z16" s="2">
        <v>0</v>
      </c>
      <c r="AA16" s="2">
        <v>150</v>
      </c>
      <c r="AB16" s="2">
        <f t="shared" si="5"/>
        <v>75</v>
      </c>
      <c r="AC16" s="2">
        <v>7.5</v>
      </c>
      <c r="AD16" s="2"/>
      <c r="AE16" s="9"/>
      <c r="AF16" s="9"/>
      <c r="AG16" s="9">
        <v>0.11</v>
      </c>
      <c r="AH16" s="9"/>
      <c r="AI16" s="59">
        <f>0.86*0.37</f>
        <v>0.31819999999999998</v>
      </c>
      <c r="AJ16" s="59"/>
      <c r="AK16" s="60"/>
      <c r="AL16" s="6" t="s">
        <v>35</v>
      </c>
      <c r="AM16" s="56" t="s">
        <v>156</v>
      </c>
      <c r="AN16" s="56" t="s">
        <v>522</v>
      </c>
      <c r="AO16" s="51">
        <v>2015</v>
      </c>
      <c r="AP16" s="51" t="s">
        <v>427</v>
      </c>
      <c r="AQ16" s="51" t="s">
        <v>157</v>
      </c>
      <c r="AR16" s="51" t="s">
        <v>151</v>
      </c>
      <c r="AS16" s="34" t="s">
        <v>428</v>
      </c>
      <c r="AT16" s="86">
        <v>13</v>
      </c>
      <c r="AU16" s="79" t="s">
        <v>70</v>
      </c>
      <c r="AV16" s="28"/>
      <c r="AW16" s="28"/>
      <c r="AX16" s="28"/>
      <c r="AY16" s="28"/>
      <c r="AZ16" s="28"/>
      <c r="BA16" s="28"/>
    </row>
    <row r="17" spans="1:53" s="18" customFormat="1" x14ac:dyDescent="0.45">
      <c r="A17" s="12" t="s">
        <v>105</v>
      </c>
      <c r="B17" s="51" t="s">
        <v>106</v>
      </c>
      <c r="C17" s="51" t="s">
        <v>96</v>
      </c>
      <c r="D17" s="51" t="s">
        <v>556</v>
      </c>
      <c r="E17" s="12">
        <f t="shared" si="1"/>
        <v>75</v>
      </c>
      <c r="F17" s="23">
        <v>0.25</v>
      </c>
      <c r="G17" s="23"/>
      <c r="H17" s="23"/>
      <c r="I17" s="23"/>
      <c r="J17" s="23">
        <v>350</v>
      </c>
      <c r="K17" s="23">
        <v>650</v>
      </c>
      <c r="L17" s="25">
        <v>2.1</v>
      </c>
      <c r="M17" s="25"/>
      <c r="N17" s="25"/>
      <c r="O17" s="25"/>
      <c r="P17" s="25">
        <v>1</v>
      </c>
      <c r="Q17" s="16">
        <v>1.3</v>
      </c>
      <c r="R17" s="16">
        <v>194</v>
      </c>
      <c r="S17" s="16"/>
      <c r="T17" s="16">
        <v>8.5</v>
      </c>
      <c r="U17" s="16">
        <v>6.5</v>
      </c>
      <c r="V17" s="55">
        <v>7.5</v>
      </c>
      <c r="W17" s="52">
        <f t="shared" si="7"/>
        <v>7.5</v>
      </c>
      <c r="X17" s="16">
        <f t="shared" si="3"/>
        <v>192.7</v>
      </c>
      <c r="Y17" s="16">
        <f t="shared" si="4"/>
        <v>2</v>
      </c>
      <c r="Z17" s="2">
        <v>0</v>
      </c>
      <c r="AA17" s="2">
        <v>150</v>
      </c>
      <c r="AB17" s="2">
        <f t="shared" si="5"/>
        <v>75</v>
      </c>
      <c r="AC17" s="2">
        <v>10</v>
      </c>
      <c r="AD17" s="2"/>
      <c r="AE17" s="9"/>
      <c r="AF17" s="9"/>
      <c r="AG17" s="9">
        <v>0.04</v>
      </c>
      <c r="AH17" s="9"/>
      <c r="AI17" s="59">
        <f>0.52*0.46</f>
        <v>0.23920000000000002</v>
      </c>
      <c r="AJ17" s="59"/>
      <c r="AK17" s="60"/>
      <c r="AL17" s="6" t="s">
        <v>124</v>
      </c>
      <c r="AM17" s="56" t="s">
        <v>158</v>
      </c>
      <c r="AN17" s="56"/>
      <c r="AO17" s="51">
        <v>2015</v>
      </c>
      <c r="AP17" s="51" t="s">
        <v>427</v>
      </c>
      <c r="AQ17" s="51" t="s">
        <v>157</v>
      </c>
      <c r="AR17" s="51" t="s">
        <v>151</v>
      </c>
      <c r="AS17" s="34" t="s">
        <v>428</v>
      </c>
      <c r="AT17" s="86">
        <v>13</v>
      </c>
      <c r="AU17" s="79" t="s">
        <v>70</v>
      </c>
      <c r="AV17" s="28"/>
      <c r="AW17" s="28"/>
      <c r="AX17" s="28"/>
      <c r="AY17" s="28"/>
      <c r="AZ17" s="28"/>
      <c r="BA17" s="28"/>
    </row>
    <row r="18" spans="1:53" s="18" customFormat="1" x14ac:dyDescent="0.45">
      <c r="A18" s="12" t="s">
        <v>105</v>
      </c>
      <c r="B18" s="51" t="s">
        <v>106</v>
      </c>
      <c r="C18" s="51" t="s">
        <v>96</v>
      </c>
      <c r="D18" s="51" t="s">
        <v>102</v>
      </c>
      <c r="E18" s="12">
        <f t="shared" si="1"/>
        <v>125</v>
      </c>
      <c r="F18" s="23">
        <v>0.25</v>
      </c>
      <c r="G18" s="23"/>
      <c r="H18" s="23"/>
      <c r="I18" s="23"/>
      <c r="J18" s="23">
        <v>350</v>
      </c>
      <c r="K18" s="23">
        <v>650</v>
      </c>
      <c r="L18" s="25"/>
      <c r="M18" s="25"/>
      <c r="N18" s="25"/>
      <c r="O18" s="25"/>
      <c r="P18" s="25">
        <v>2</v>
      </c>
      <c r="Q18" s="16">
        <v>2</v>
      </c>
      <c r="R18" s="16">
        <v>237</v>
      </c>
      <c r="S18" s="16"/>
      <c r="T18" s="16">
        <v>18</v>
      </c>
      <c r="U18" s="16">
        <v>14</v>
      </c>
      <c r="V18" s="55">
        <v>16</v>
      </c>
      <c r="W18" s="52">
        <f t="shared" si="7"/>
        <v>8</v>
      </c>
      <c r="X18" s="16">
        <f t="shared" si="3"/>
        <v>235</v>
      </c>
      <c r="Y18" s="16">
        <f t="shared" si="4"/>
        <v>4</v>
      </c>
      <c r="Z18" s="2">
        <v>112</v>
      </c>
      <c r="AA18" s="2">
        <v>138</v>
      </c>
      <c r="AB18" s="2">
        <f t="shared" si="5"/>
        <v>125</v>
      </c>
      <c r="AC18" s="2">
        <v>10</v>
      </c>
      <c r="AD18" s="2"/>
      <c r="AE18" s="9"/>
      <c r="AF18" s="9"/>
      <c r="AG18" s="9">
        <v>0.11700000000000001</v>
      </c>
      <c r="AH18" s="9"/>
      <c r="AI18" s="59">
        <f>1.09*0.38</f>
        <v>0.41420000000000001</v>
      </c>
      <c r="AJ18" s="59"/>
      <c r="AK18" s="60"/>
      <c r="AL18" s="6" t="s">
        <v>124</v>
      </c>
      <c r="AM18" s="56" t="s">
        <v>159</v>
      </c>
      <c r="AN18" s="56"/>
      <c r="AO18" s="51">
        <v>2015</v>
      </c>
      <c r="AP18" s="51" t="s">
        <v>427</v>
      </c>
      <c r="AQ18" s="51" t="s">
        <v>157</v>
      </c>
      <c r="AR18" s="51" t="s">
        <v>151</v>
      </c>
      <c r="AS18" s="34" t="s">
        <v>428</v>
      </c>
      <c r="AT18" s="86">
        <v>13</v>
      </c>
      <c r="AU18" s="79" t="s">
        <v>70</v>
      </c>
      <c r="AV18" s="28"/>
      <c r="AW18" s="28"/>
      <c r="AX18" s="28"/>
      <c r="AY18" s="28"/>
      <c r="AZ18" s="28"/>
      <c r="BA18" s="28"/>
    </row>
    <row r="19" spans="1:53" s="18" customFormat="1" x14ac:dyDescent="0.45">
      <c r="A19" s="12" t="s">
        <v>105</v>
      </c>
      <c r="B19" s="51" t="s">
        <v>106</v>
      </c>
      <c r="C19" s="51" t="s">
        <v>96</v>
      </c>
      <c r="D19" s="51" t="s">
        <v>111</v>
      </c>
      <c r="E19" s="12">
        <f>AB19</f>
        <v>265</v>
      </c>
      <c r="F19" s="23">
        <v>0.25</v>
      </c>
      <c r="G19" s="23">
        <v>4</v>
      </c>
      <c r="H19" s="23"/>
      <c r="I19" s="23"/>
      <c r="J19" s="23">
        <v>350</v>
      </c>
      <c r="K19" s="23">
        <v>600</v>
      </c>
      <c r="L19" s="25"/>
      <c r="M19" s="25">
        <v>1</v>
      </c>
      <c r="N19" s="25">
        <v>1</v>
      </c>
      <c r="O19" s="25">
        <f>G19*M19*N19</f>
        <v>4</v>
      </c>
      <c r="P19" s="25">
        <v>5</v>
      </c>
      <c r="Q19" s="16">
        <v>210</v>
      </c>
      <c r="R19" s="16">
        <v>315</v>
      </c>
      <c r="S19" s="16">
        <v>250</v>
      </c>
      <c r="T19" s="16">
        <v>24</v>
      </c>
      <c r="U19" s="16">
        <v>10</v>
      </c>
      <c r="V19" s="16">
        <f>(T19+U19)/2</f>
        <v>17</v>
      </c>
      <c r="W19" s="52">
        <f t="shared" si="7"/>
        <v>3.4</v>
      </c>
      <c r="X19" s="16">
        <f>R19-Q19</f>
        <v>105</v>
      </c>
      <c r="Y19" s="16">
        <f>T19-U19</f>
        <v>14</v>
      </c>
      <c r="Z19" s="2">
        <v>240</v>
      </c>
      <c r="AA19" s="2">
        <v>295</v>
      </c>
      <c r="AB19" s="2">
        <v>265</v>
      </c>
      <c r="AC19" s="2">
        <f>(12.3+10.4)/2</f>
        <v>11.350000000000001</v>
      </c>
      <c r="AD19" s="2">
        <v>10.4</v>
      </c>
      <c r="AE19" s="57">
        <v>5.5</v>
      </c>
      <c r="AF19" s="61">
        <f>POWER(10, AE19/10)</f>
        <v>3.5481338923357555</v>
      </c>
      <c r="AG19" s="61"/>
      <c r="AH19" s="9">
        <v>12.5</v>
      </c>
      <c r="AI19" s="6"/>
      <c r="AJ19" s="6"/>
      <c r="AK19" s="56"/>
      <c r="AL19" s="6" t="s">
        <v>35</v>
      </c>
      <c r="AM19" s="56" t="s">
        <v>128</v>
      </c>
      <c r="AN19" s="56" t="s">
        <v>523</v>
      </c>
      <c r="AO19" s="51">
        <v>2014</v>
      </c>
      <c r="AP19" s="51" t="s">
        <v>423</v>
      </c>
      <c r="AQ19" s="51" t="s">
        <v>150</v>
      </c>
      <c r="AR19" s="51" t="s">
        <v>151</v>
      </c>
      <c r="AS19" s="34" t="s">
        <v>424</v>
      </c>
      <c r="AT19" s="86">
        <v>14</v>
      </c>
      <c r="AU19" s="79" t="s">
        <v>152</v>
      </c>
      <c r="AV19" s="28"/>
      <c r="AW19" s="28"/>
      <c r="AX19" s="28"/>
      <c r="AY19" s="28"/>
      <c r="AZ19" s="28"/>
      <c r="BA19" s="28"/>
    </row>
    <row r="20" spans="1:53" s="18" customFormat="1" x14ac:dyDescent="0.45">
      <c r="A20" s="51" t="s">
        <v>96</v>
      </c>
      <c r="B20" s="51" t="s">
        <v>22</v>
      </c>
      <c r="C20" s="51" t="s">
        <v>96</v>
      </c>
      <c r="D20" s="51" t="s">
        <v>589</v>
      </c>
      <c r="E20" s="12">
        <f t="shared" si="1"/>
        <v>387.5</v>
      </c>
      <c r="F20" s="23">
        <v>0.125</v>
      </c>
      <c r="G20" s="23">
        <v>4</v>
      </c>
      <c r="H20" s="23"/>
      <c r="I20" s="23"/>
      <c r="J20" s="23"/>
      <c r="K20" s="23"/>
      <c r="L20" s="25"/>
      <c r="M20" s="25">
        <v>1</v>
      </c>
      <c r="N20" s="25">
        <v>1</v>
      </c>
      <c r="O20" s="25">
        <f>G20*M20*N20</f>
        <v>4</v>
      </c>
      <c r="P20" s="25">
        <v>8</v>
      </c>
      <c r="Q20" s="16">
        <v>360</v>
      </c>
      <c r="R20" s="16">
        <v>400</v>
      </c>
      <c r="S20" s="16">
        <v>375</v>
      </c>
      <c r="T20" s="16">
        <v>22</v>
      </c>
      <c r="U20" s="16">
        <v>17</v>
      </c>
      <c r="V20" s="16">
        <f>(T20+U20)/2</f>
        <v>19.5</v>
      </c>
      <c r="W20" s="52">
        <f t="shared" si="7"/>
        <v>2.4375</v>
      </c>
      <c r="X20" s="16">
        <f t="shared" ref="X20" si="8">R20-Q20</f>
        <v>40</v>
      </c>
      <c r="Y20" s="16">
        <f t="shared" si="4"/>
        <v>5</v>
      </c>
      <c r="Z20" s="2">
        <v>325</v>
      </c>
      <c r="AA20" s="2">
        <v>450</v>
      </c>
      <c r="AB20" s="2">
        <f t="shared" si="5"/>
        <v>387.5</v>
      </c>
      <c r="AC20" s="2">
        <v>17.100000000000001</v>
      </c>
      <c r="AD20" s="2">
        <v>15.2</v>
      </c>
      <c r="AE20" s="9">
        <v>-8.8000000000000007</v>
      </c>
      <c r="AF20" s="9"/>
      <c r="AG20" s="9"/>
      <c r="AH20" s="9"/>
      <c r="AI20" s="6">
        <f>0.35*0.3</f>
        <v>0.105</v>
      </c>
      <c r="AJ20" s="6"/>
      <c r="AK20" s="6"/>
      <c r="AL20" s="6" t="s">
        <v>35</v>
      </c>
      <c r="AM20" s="6" t="s">
        <v>162</v>
      </c>
      <c r="AN20" s="6"/>
      <c r="AO20" s="51">
        <v>2012</v>
      </c>
      <c r="AP20" s="51" t="s">
        <v>429</v>
      </c>
      <c r="AQ20" s="51" t="s">
        <v>163</v>
      </c>
      <c r="AR20" s="51" t="s">
        <v>164</v>
      </c>
      <c r="AS20" s="34" t="s">
        <v>430</v>
      </c>
      <c r="AT20" s="86">
        <v>15</v>
      </c>
      <c r="AU20" s="79" t="s">
        <v>63</v>
      </c>
      <c r="AV20" s="28"/>
      <c r="AW20" s="28"/>
      <c r="AX20" s="28"/>
      <c r="AY20" s="28"/>
      <c r="AZ20" s="28"/>
      <c r="BA20" s="28"/>
    </row>
    <row r="21" spans="1:53" s="18" customFormat="1" x14ac:dyDescent="0.45">
      <c r="A21" s="51" t="s">
        <v>96</v>
      </c>
      <c r="B21" s="51" t="s">
        <v>22</v>
      </c>
      <c r="C21" s="51" t="s">
        <v>96</v>
      </c>
      <c r="D21" s="51" t="s">
        <v>111</v>
      </c>
      <c r="E21" s="12">
        <f>AB21</f>
        <v>300</v>
      </c>
      <c r="F21" s="23">
        <v>0.25</v>
      </c>
      <c r="G21" s="23">
        <v>4</v>
      </c>
      <c r="H21" s="23"/>
      <c r="I21" s="23"/>
      <c r="J21" s="23">
        <v>378</v>
      </c>
      <c r="K21" s="23">
        <v>808</v>
      </c>
      <c r="L21" s="25"/>
      <c r="M21" s="25">
        <v>1</v>
      </c>
      <c r="N21" s="25">
        <v>1</v>
      </c>
      <c r="O21" s="25">
        <f>G21*M21*N21</f>
        <v>4</v>
      </c>
      <c r="P21" s="25">
        <v>1</v>
      </c>
      <c r="Q21" s="16">
        <v>277</v>
      </c>
      <c r="R21" s="16">
        <v>296</v>
      </c>
      <c r="S21" s="16">
        <v>288</v>
      </c>
      <c r="T21" s="16">
        <v>8.4</v>
      </c>
      <c r="U21" s="16">
        <v>7.4</v>
      </c>
      <c r="V21" s="16">
        <f>(T21+U21)/2</f>
        <v>7.9</v>
      </c>
      <c r="W21" s="52">
        <f t="shared" si="7"/>
        <v>7.9</v>
      </c>
      <c r="X21" s="16">
        <f>R21-Q21</f>
        <v>19</v>
      </c>
      <c r="Y21" s="16">
        <f>T21-U21</f>
        <v>1</v>
      </c>
      <c r="Z21" s="2">
        <v>280</v>
      </c>
      <c r="AA21" s="2">
        <v>310</v>
      </c>
      <c r="AB21" s="2">
        <v>300</v>
      </c>
      <c r="AC21" s="2">
        <v>11.2</v>
      </c>
      <c r="AD21" s="2"/>
      <c r="AE21" s="57"/>
      <c r="AF21" s="9"/>
      <c r="AG21" s="9">
        <v>0.18</v>
      </c>
      <c r="AH21" s="9"/>
      <c r="AI21" s="6">
        <f>1.5*0.75</f>
        <v>1.125</v>
      </c>
      <c r="AJ21" s="6"/>
      <c r="AK21" s="56"/>
      <c r="AL21" s="6" t="s">
        <v>35</v>
      </c>
      <c r="AM21" s="56" t="s">
        <v>146</v>
      </c>
      <c r="AN21" s="56" t="s">
        <v>524</v>
      </c>
      <c r="AO21" s="51">
        <v>2010</v>
      </c>
      <c r="AP21" s="51" t="s">
        <v>421</v>
      </c>
      <c r="AQ21" s="51" t="s">
        <v>147</v>
      </c>
      <c r="AR21" s="51" t="s">
        <v>148</v>
      </c>
      <c r="AS21" s="34" t="s">
        <v>422</v>
      </c>
      <c r="AT21" s="86">
        <v>16</v>
      </c>
      <c r="AU21" s="79" t="s">
        <v>149</v>
      </c>
      <c r="AV21" s="28"/>
      <c r="AW21" s="28"/>
      <c r="AX21" s="28"/>
      <c r="AY21" s="28"/>
      <c r="AZ21" s="28"/>
      <c r="BA21" s="28"/>
    </row>
    <row r="22" spans="1:53" s="39" customFormat="1" x14ac:dyDescent="0.45">
      <c r="A22" s="36"/>
      <c r="B22" s="36"/>
      <c r="C22" s="36"/>
      <c r="D22" s="36"/>
      <c r="E22" s="36"/>
      <c r="F22" s="36"/>
      <c r="G22" s="36"/>
      <c r="H22" s="36"/>
      <c r="I22" s="36"/>
      <c r="J22" s="36"/>
      <c r="K22" s="36"/>
      <c r="L22" s="36"/>
      <c r="M22" s="36"/>
      <c r="N22" s="36"/>
      <c r="O22" s="36"/>
      <c r="P22" s="36"/>
      <c r="Q22" s="36"/>
      <c r="R22" s="36"/>
      <c r="S22" s="36"/>
      <c r="T22" s="36"/>
      <c r="U22" s="36"/>
      <c r="V22" s="36"/>
      <c r="W22" s="49"/>
      <c r="X22" s="36"/>
      <c r="Y22" s="36"/>
      <c r="Z22" s="36"/>
      <c r="AA22" s="36"/>
      <c r="AB22" s="36"/>
      <c r="AC22" s="36"/>
      <c r="AD22" s="36"/>
      <c r="AE22" s="36"/>
      <c r="AF22" s="36"/>
      <c r="AG22" s="36"/>
      <c r="AH22" s="36"/>
      <c r="AI22" s="36"/>
      <c r="AJ22" s="36"/>
      <c r="AK22" s="36"/>
      <c r="AL22" s="36"/>
      <c r="AM22" s="36"/>
      <c r="AN22" s="36"/>
      <c r="AO22" s="36"/>
      <c r="AP22" s="36"/>
      <c r="AQ22" s="36"/>
      <c r="AR22" s="36"/>
      <c r="AS22" s="36"/>
      <c r="AT22" s="87"/>
      <c r="AU22" s="78"/>
    </row>
    <row r="23" spans="1:53" s="18" customFormat="1" x14ac:dyDescent="0.45">
      <c r="A23" s="80" t="s">
        <v>113</v>
      </c>
      <c r="B23" s="80" t="s">
        <v>22</v>
      </c>
      <c r="C23" s="80" t="s">
        <v>96</v>
      </c>
      <c r="D23" s="81"/>
      <c r="E23" s="81"/>
      <c r="F23" s="81"/>
      <c r="G23" s="81"/>
      <c r="H23" s="81"/>
      <c r="I23" s="81"/>
      <c r="J23" s="81"/>
      <c r="K23" s="81"/>
      <c r="L23" s="81"/>
      <c r="M23" s="81"/>
      <c r="N23" s="81"/>
      <c r="O23" s="81"/>
      <c r="P23" s="81"/>
      <c r="Q23" s="81"/>
      <c r="R23" s="81"/>
      <c r="S23" s="81"/>
      <c r="T23" s="81"/>
      <c r="U23" s="81"/>
      <c r="V23" s="81"/>
      <c r="W23" s="82"/>
      <c r="X23" s="81"/>
      <c r="Y23" s="81"/>
      <c r="Z23" s="81"/>
      <c r="AA23" s="81"/>
      <c r="AB23" s="81"/>
      <c r="AC23" s="81"/>
      <c r="AD23" s="81"/>
      <c r="AE23" s="81"/>
      <c r="AF23" s="81"/>
      <c r="AG23" s="81"/>
      <c r="AH23" s="81"/>
      <c r="AI23" s="81"/>
      <c r="AJ23" s="81"/>
      <c r="AK23" s="81"/>
      <c r="AL23" s="81"/>
      <c r="AM23" s="81"/>
      <c r="AN23" s="81"/>
      <c r="AO23" s="80">
        <v>2017</v>
      </c>
      <c r="AP23" s="80" t="s">
        <v>434</v>
      </c>
      <c r="AQ23" s="80" t="s">
        <v>154</v>
      </c>
      <c r="AR23" s="80" t="s">
        <v>155</v>
      </c>
      <c r="AS23" s="77" t="s">
        <v>435</v>
      </c>
      <c r="AT23" s="86">
        <v>17</v>
      </c>
      <c r="AU23" s="20" t="s">
        <v>67</v>
      </c>
      <c r="AV23" s="31" t="s">
        <v>172</v>
      </c>
      <c r="AW23" s="31"/>
    </row>
    <row r="24" spans="1:53" s="18" customFormat="1" x14ac:dyDescent="0.45">
      <c r="A24" s="80" t="s">
        <v>113</v>
      </c>
      <c r="B24" s="80" t="s">
        <v>22</v>
      </c>
      <c r="C24" s="80" t="s">
        <v>96</v>
      </c>
      <c r="D24" s="81"/>
      <c r="E24" s="81"/>
      <c r="F24" s="81"/>
      <c r="G24" s="81"/>
      <c r="H24" s="81"/>
      <c r="I24" s="81"/>
      <c r="J24" s="81"/>
      <c r="K24" s="81"/>
      <c r="L24" s="81"/>
      <c r="M24" s="81"/>
      <c r="N24" s="81"/>
      <c r="O24" s="81"/>
      <c r="P24" s="81"/>
      <c r="Q24" s="81"/>
      <c r="R24" s="81"/>
      <c r="S24" s="81"/>
      <c r="T24" s="81"/>
      <c r="U24" s="81"/>
      <c r="V24" s="81"/>
      <c r="W24" s="82"/>
      <c r="X24" s="81"/>
      <c r="Y24" s="81"/>
      <c r="Z24" s="81"/>
      <c r="AA24" s="81"/>
      <c r="AB24" s="81"/>
      <c r="AC24" s="81"/>
      <c r="AD24" s="81"/>
      <c r="AE24" s="81"/>
      <c r="AF24" s="81"/>
      <c r="AG24" s="81"/>
      <c r="AH24" s="81"/>
      <c r="AI24" s="81"/>
      <c r="AJ24" s="81"/>
      <c r="AK24" s="81"/>
      <c r="AL24" s="81"/>
      <c r="AM24" s="81"/>
      <c r="AN24" s="81"/>
      <c r="AO24" s="80">
        <v>2017</v>
      </c>
      <c r="AP24" s="80" t="s">
        <v>436</v>
      </c>
      <c r="AQ24" s="83" t="s">
        <v>160</v>
      </c>
      <c r="AR24" s="80" t="s">
        <v>155</v>
      </c>
      <c r="AS24" s="77" t="s">
        <v>437</v>
      </c>
      <c r="AT24" s="86">
        <v>18</v>
      </c>
      <c r="AU24" s="20" t="s">
        <v>161</v>
      </c>
      <c r="AV24" s="31" t="s">
        <v>604</v>
      </c>
      <c r="AW24" s="31"/>
    </row>
    <row r="25" spans="1:53" s="18" customFormat="1" x14ac:dyDescent="0.45">
      <c r="A25" s="30"/>
      <c r="B25" s="30"/>
      <c r="C25" s="30"/>
      <c r="D25" s="11"/>
      <c r="E25" s="11"/>
      <c r="F25" s="11"/>
      <c r="G25" s="11"/>
      <c r="H25" s="11"/>
      <c r="I25" s="11"/>
      <c r="J25" s="11"/>
      <c r="K25" s="11"/>
      <c r="L25" s="11"/>
      <c r="M25" s="11"/>
      <c r="N25" s="11"/>
      <c r="O25" s="11"/>
      <c r="P25" s="11"/>
      <c r="Q25" s="11"/>
      <c r="R25" s="11"/>
      <c r="S25" s="11"/>
      <c r="T25" s="11"/>
      <c r="U25" s="11"/>
      <c r="V25" s="11"/>
      <c r="W25" s="29"/>
      <c r="X25" s="11"/>
      <c r="Y25" s="11"/>
      <c r="Z25" s="11"/>
      <c r="AA25" s="11"/>
      <c r="AB25" s="11"/>
      <c r="AC25" s="11"/>
      <c r="AD25" s="11"/>
      <c r="AE25" s="11"/>
      <c r="AF25" s="11"/>
      <c r="AG25" s="11"/>
      <c r="AH25" s="11"/>
      <c r="AI25" s="11"/>
      <c r="AJ25" s="11"/>
      <c r="AK25" s="11"/>
      <c r="AL25" s="11"/>
      <c r="AM25" s="11"/>
      <c r="AN25" s="11"/>
      <c r="AO25" s="30"/>
      <c r="AP25" s="30"/>
      <c r="AQ25" s="35"/>
      <c r="AR25" s="30"/>
      <c r="AS25" s="34"/>
      <c r="AT25" s="86"/>
      <c r="AU25" s="20"/>
      <c r="AV25" s="31"/>
      <c r="AW25" s="31"/>
    </row>
    <row r="26" spans="1:53" s="18" customFormat="1" x14ac:dyDescent="0.45">
      <c r="A26" s="30"/>
      <c r="B26" s="30"/>
      <c r="C26" s="30"/>
      <c r="D26" s="11"/>
      <c r="E26" s="11"/>
      <c r="F26" s="11"/>
      <c r="G26" s="11"/>
      <c r="H26" s="11"/>
      <c r="I26" s="11"/>
      <c r="J26" s="11"/>
      <c r="K26" s="11"/>
      <c r="L26" s="11"/>
      <c r="M26" s="11"/>
      <c r="N26" s="11"/>
      <c r="O26" s="11"/>
      <c r="P26" s="11"/>
      <c r="Q26" s="11"/>
      <c r="R26" s="11"/>
      <c r="S26" s="11"/>
      <c r="T26" s="11"/>
      <c r="U26" s="11"/>
      <c r="V26" s="11"/>
      <c r="W26" s="29"/>
      <c r="X26" s="11"/>
      <c r="Y26" s="11"/>
      <c r="Z26" s="11"/>
      <c r="AA26" s="11"/>
      <c r="AB26" s="11"/>
      <c r="AC26" s="11"/>
      <c r="AD26" s="11"/>
      <c r="AE26" s="11"/>
      <c r="AF26" s="11"/>
      <c r="AG26" s="11"/>
      <c r="AH26" s="11"/>
      <c r="AI26" s="11"/>
      <c r="AJ26" s="11"/>
      <c r="AK26" s="11"/>
      <c r="AL26" s="11"/>
      <c r="AM26" s="11"/>
      <c r="AN26" s="11"/>
      <c r="AO26" s="30"/>
      <c r="AP26" s="30"/>
      <c r="AQ26" s="35"/>
      <c r="AR26" s="30"/>
      <c r="AS26" s="34"/>
      <c r="AT26" s="86"/>
      <c r="AU26" s="20"/>
      <c r="AV26" s="31"/>
      <c r="AW26" s="31"/>
    </row>
    <row r="27" spans="1:53" s="18" customFormat="1" x14ac:dyDescent="0.45">
      <c r="A27" s="30"/>
      <c r="B27" s="30"/>
      <c r="C27" s="30"/>
      <c r="D27" s="11"/>
      <c r="E27" s="11"/>
      <c r="F27" s="11"/>
      <c r="G27" s="11"/>
      <c r="H27" s="11"/>
      <c r="I27" s="11"/>
      <c r="J27" s="11"/>
      <c r="K27" s="11"/>
      <c r="L27" s="11"/>
      <c r="M27" s="11"/>
      <c r="N27" s="11"/>
      <c r="O27" s="11"/>
      <c r="P27" s="11"/>
      <c r="Q27" s="11"/>
      <c r="R27" s="11"/>
      <c r="S27" s="11"/>
      <c r="T27" s="11"/>
      <c r="U27" s="11"/>
      <c r="V27" s="11"/>
      <c r="W27" s="29"/>
      <c r="X27" s="11"/>
      <c r="Y27" s="11"/>
      <c r="Z27" s="11"/>
      <c r="AA27" s="11"/>
      <c r="AB27" s="11"/>
      <c r="AC27" s="11"/>
      <c r="AD27" s="11"/>
      <c r="AE27" s="11"/>
      <c r="AF27" s="11"/>
      <c r="AG27" s="11"/>
      <c r="AH27" s="11"/>
      <c r="AI27" s="11"/>
      <c r="AJ27" s="11"/>
      <c r="AK27" s="11"/>
      <c r="AL27" s="11"/>
      <c r="AM27" s="11"/>
      <c r="AN27" s="11"/>
      <c r="AO27" s="30"/>
      <c r="AP27" s="30"/>
      <c r="AQ27" s="35"/>
      <c r="AR27" s="30"/>
      <c r="AS27" s="34"/>
      <c r="AT27" s="86"/>
      <c r="AU27" s="20"/>
      <c r="AV27" s="31"/>
      <c r="AW27" s="31"/>
    </row>
  </sheetData>
  <phoneticPr fontId="2"/>
  <hyperlinks>
    <hyperlink ref="AS3" r:id="rId1" xr:uid="{8DBE3B40-4155-4F7F-ACB7-5A27A0501D7F}"/>
    <hyperlink ref="AS4" r:id="rId2" xr:uid="{529063B7-77B0-4A44-B0F9-26489B1C7F94}"/>
    <hyperlink ref="AS2" r:id="rId3" xr:uid="{5FE52262-ED72-4B27-BB33-3FA0AD6A53E8}"/>
    <hyperlink ref="AS5" r:id="rId4" xr:uid="{DEC14874-D0FB-4B3E-9750-4A25AE20F051}"/>
    <hyperlink ref="AS7" r:id="rId5" xr:uid="{F20D1C38-E6E9-4A9C-BA64-FA49268A8BCA}"/>
    <hyperlink ref="AS8" r:id="rId6" xr:uid="{7A668D81-57E6-4BA0-BAE0-326E9BC4B953}"/>
    <hyperlink ref="AS10" r:id="rId7" xr:uid="{7AE78AC3-7864-4256-9958-BE325536D705}"/>
    <hyperlink ref="AS13" r:id="rId8" xr:uid="{55BD28F5-A706-405F-B16C-6096333A7AE9}"/>
    <hyperlink ref="AS21" r:id="rId9" xr:uid="{9887056A-3B4B-49D1-B0E7-BCC016D7DB60}"/>
    <hyperlink ref="AS19" r:id="rId10" xr:uid="{74D78B4D-18CC-446F-9D1B-41B35E332C2D}"/>
    <hyperlink ref="AS14" r:id="rId11" xr:uid="{50FC176B-C335-4C26-B6F2-A476DB0CB232}"/>
    <hyperlink ref="AS15" r:id="rId12" xr:uid="{6C0436AD-E646-4D83-973C-36229E3FC1D9}"/>
    <hyperlink ref="AS16" r:id="rId13" xr:uid="{9BFB9233-1865-4DAC-8962-74B0FACEB2B5}"/>
    <hyperlink ref="AS17" r:id="rId14" xr:uid="{D991D1A0-59AD-4669-9C78-C4F1FF937280}"/>
    <hyperlink ref="AS18" r:id="rId15" xr:uid="{6FB3099A-6096-43D0-9E36-25BC772809CA}"/>
    <hyperlink ref="AS20" r:id="rId16" xr:uid="{6A540965-858D-43E8-8D60-6F62E1DE2914}"/>
    <hyperlink ref="AS11" r:id="rId17" xr:uid="{773DC1F1-EFFA-4CC6-A95B-22F265E3D0B4}"/>
    <hyperlink ref="AS12" r:id="rId18" xr:uid="{8852B877-5F59-448A-AEFC-D9E5320F910E}"/>
    <hyperlink ref="AS23" r:id="rId19" xr:uid="{9133CAE1-D373-4573-983D-4473441E6F03}"/>
    <hyperlink ref="AS24" r:id="rId20" xr:uid="{4BC8E8A0-7C1C-43D5-A710-D6FE5AF103C8}"/>
  </hyperlinks>
  <pageMargins left="0.7" right="0.7" top="0.75" bottom="0.75" header="0.3" footer="0.3"/>
  <pageSetup paperSize="9" orientation="portrait" horizontalDpi="4294967293" verticalDpi="4294967293" r:id="rId21"/>
  <drawing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C540F-99D6-4009-A398-F9AC5CCFD98B}">
  <dimension ref="B4:B9"/>
  <sheetViews>
    <sheetView workbookViewId="0">
      <selection activeCell="F11" sqref="F11"/>
    </sheetView>
  </sheetViews>
  <sheetFormatPr defaultRowHeight="18" x14ac:dyDescent="0.45"/>
  <sheetData>
    <row r="4" spans="2:2" x14ac:dyDescent="0.45">
      <c r="B4" t="s">
        <v>550</v>
      </c>
    </row>
    <row r="5" spans="2:2" x14ac:dyDescent="0.45">
      <c r="B5" t="s">
        <v>551</v>
      </c>
    </row>
    <row r="6" spans="2:2" x14ac:dyDescent="0.45">
      <c r="B6" t="s">
        <v>552</v>
      </c>
    </row>
    <row r="7" spans="2:2" x14ac:dyDescent="0.45">
      <c r="B7" t="s">
        <v>553</v>
      </c>
    </row>
    <row r="8" spans="2:2" x14ac:dyDescent="0.45">
      <c r="B8" t="s">
        <v>554</v>
      </c>
    </row>
    <row r="9" spans="2:2" x14ac:dyDescent="0.45">
      <c r="B9" t="s">
        <v>555</v>
      </c>
    </row>
  </sheetData>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A200-28D4-4625-A14B-24380E5BF19B}">
  <dimension ref="A1:T98"/>
  <sheetViews>
    <sheetView tabSelected="1" topLeftCell="K31" zoomScale="70" zoomScaleNormal="70" workbookViewId="0">
      <selection activeCell="AB40" sqref="AB40"/>
    </sheetView>
  </sheetViews>
  <sheetFormatPr defaultRowHeight="18" x14ac:dyDescent="0.45"/>
  <cols>
    <col min="10" max="10" width="18.8984375" customWidth="1"/>
    <col min="11" max="11" width="14.59765625" customWidth="1"/>
    <col min="13" max="13" width="20.59765625" customWidth="1"/>
  </cols>
  <sheetData>
    <row r="1" spans="1:20" x14ac:dyDescent="0.45">
      <c r="A1" s="89" t="s">
        <v>613</v>
      </c>
      <c r="B1" s="89" t="s">
        <v>614</v>
      </c>
      <c r="C1" s="89" t="s">
        <v>615</v>
      </c>
      <c r="D1" s="89" t="s">
        <v>616</v>
      </c>
      <c r="E1" s="89" t="s">
        <v>617</v>
      </c>
      <c r="F1" s="89" t="s">
        <v>618</v>
      </c>
      <c r="G1" s="89" t="s">
        <v>619</v>
      </c>
      <c r="H1" s="89" t="s">
        <v>620</v>
      </c>
      <c r="I1" s="89" t="s">
        <v>621</v>
      </c>
      <c r="J1" s="89" t="s">
        <v>622</v>
      </c>
      <c r="K1" s="89" t="s">
        <v>623</v>
      </c>
      <c r="L1" s="89" t="s">
        <v>624</v>
      </c>
      <c r="M1" s="90" t="s">
        <v>625</v>
      </c>
      <c r="N1" s="91"/>
      <c r="O1" s="92" t="s">
        <v>626</v>
      </c>
      <c r="P1" s="93" t="s">
        <v>627</v>
      </c>
      <c r="Q1" s="92" t="s">
        <v>628</v>
      </c>
      <c r="R1" s="93" t="s">
        <v>629</v>
      </c>
      <c r="S1" s="93" t="s">
        <v>630</v>
      </c>
      <c r="T1" s="94" t="s">
        <v>631</v>
      </c>
    </row>
    <row r="2" spans="1:20" x14ac:dyDescent="0.45">
      <c r="A2" s="95"/>
      <c r="B2" s="95">
        <v>220</v>
      </c>
      <c r="C2" s="95">
        <v>10</v>
      </c>
      <c r="D2" s="95">
        <v>35</v>
      </c>
      <c r="E2" s="95" t="e">
        <f>NA()</f>
        <v>#N/A</v>
      </c>
      <c r="F2" s="95">
        <v>4.05</v>
      </c>
      <c r="G2" s="95" t="e">
        <f>NA()</f>
        <v>#N/A</v>
      </c>
      <c r="H2" s="95" t="e">
        <f>NA()</f>
        <v>#N/A</v>
      </c>
      <c r="I2" s="95" t="e">
        <f>NA()</f>
        <v>#N/A</v>
      </c>
      <c r="J2" s="95"/>
      <c r="K2" s="95" t="s">
        <v>633</v>
      </c>
      <c r="L2" s="95">
        <v>2019</v>
      </c>
      <c r="M2" s="96"/>
      <c r="N2" s="97"/>
      <c r="O2" s="98">
        <f>IF(ISERROR(SEARCH("*Japan*",K2)),D2,NA())</f>
        <v>35</v>
      </c>
      <c r="P2" s="99" t="e">
        <f>IF(ISERROR(SEARCH("*Japan*",K2)),NA(),D2)</f>
        <v>#N/A</v>
      </c>
      <c r="Q2" s="98" t="e">
        <f>IF(ISERROR(SEARCH("*Japan*",K2)),E2,NA())</f>
        <v>#N/A</v>
      </c>
      <c r="R2" s="99" t="e">
        <f>IF(ISERROR(SEARCH("*Japan*",K2)),NA(),E2)</f>
        <v>#N/A</v>
      </c>
      <c r="S2" s="99" t="e">
        <f>10^(E2/10)/I2</f>
        <v>#N/A</v>
      </c>
      <c r="T2" s="94" t="s">
        <v>632</v>
      </c>
    </row>
    <row r="3" spans="1:20" x14ac:dyDescent="0.45">
      <c r="A3" s="95"/>
      <c r="B3" s="95">
        <v>850</v>
      </c>
      <c r="C3" s="95">
        <v>90</v>
      </c>
      <c r="D3" s="95">
        <v>12.4</v>
      </c>
      <c r="E3" s="95" t="e">
        <f>NA()</f>
        <v>#N/A</v>
      </c>
      <c r="F3" s="95">
        <v>12</v>
      </c>
      <c r="G3" s="95">
        <v>5.5E-2</v>
      </c>
      <c r="H3" s="95" t="e">
        <f>NA()</f>
        <v>#N/A</v>
      </c>
      <c r="I3" s="95" t="e">
        <f>NA()</f>
        <v>#N/A</v>
      </c>
      <c r="J3" s="95"/>
      <c r="K3" s="95" t="s">
        <v>633</v>
      </c>
      <c r="L3" s="95">
        <v>2017</v>
      </c>
      <c r="M3" s="96"/>
      <c r="N3" s="97"/>
      <c r="O3" s="98">
        <f t="shared" ref="O3:O25" si="0">IF(ISERROR(SEARCH("*Japan*",K3)),D3,NA())</f>
        <v>12.4</v>
      </c>
      <c r="P3" s="99" t="e">
        <f t="shared" ref="P3:P25" si="1">IF(ISERROR(SEARCH("*Japan*",K3)),NA(),D3)</f>
        <v>#N/A</v>
      </c>
      <c r="Q3" s="98" t="e">
        <f>IF(ISERROR(SEARCH("*Japan*",K3)),E3,NA())</f>
        <v>#N/A</v>
      </c>
      <c r="R3" s="99" t="e">
        <f>IF(ISERROR(SEARCH("*Japan*",K3)),NA(),E3)</f>
        <v>#N/A</v>
      </c>
      <c r="S3" s="99" t="e">
        <f>10^(E3/10)/I3</f>
        <v>#N/A</v>
      </c>
    </row>
    <row r="4" spans="1:20" x14ac:dyDescent="0.45">
      <c r="A4" s="95"/>
      <c r="B4" s="95">
        <v>1000</v>
      </c>
      <c r="C4" s="95">
        <v>10</v>
      </c>
      <c r="D4" s="95">
        <v>10</v>
      </c>
      <c r="E4" s="95" t="e">
        <f>NA()</f>
        <v>#N/A</v>
      </c>
      <c r="F4" s="95" t="e">
        <f>NA()</f>
        <v>#N/A</v>
      </c>
      <c r="G4" s="95" t="e">
        <f>NA()</f>
        <v>#N/A</v>
      </c>
      <c r="H4" s="95" t="e">
        <f>NA()</f>
        <v>#N/A</v>
      </c>
      <c r="I4" s="95" t="e">
        <f>NA()</f>
        <v>#N/A</v>
      </c>
      <c r="J4" s="95"/>
      <c r="K4" s="95" t="s">
        <v>633</v>
      </c>
      <c r="L4" s="95">
        <v>2016</v>
      </c>
      <c r="M4" s="96"/>
      <c r="N4" s="97"/>
      <c r="O4" s="98">
        <f t="shared" si="0"/>
        <v>10</v>
      </c>
      <c r="P4" s="99" t="e">
        <f t="shared" si="1"/>
        <v>#N/A</v>
      </c>
      <c r="Q4" s="98" t="e">
        <f>IF(ISERROR(SEARCH("*Japan*",K4)),E4,NA())</f>
        <v>#N/A</v>
      </c>
      <c r="R4" s="99" t="e">
        <f>IF(ISERROR(SEARCH("*Japan*",K4)),NA(),E4)</f>
        <v>#N/A</v>
      </c>
      <c r="S4" s="99" t="e">
        <f>10^(E4/10)/I4</f>
        <v>#N/A</v>
      </c>
    </row>
    <row r="5" spans="1:20" x14ac:dyDescent="0.45">
      <c r="A5" s="95"/>
      <c r="B5" s="95">
        <v>668</v>
      </c>
      <c r="C5" s="95">
        <v>20</v>
      </c>
      <c r="D5" s="95">
        <v>27.5</v>
      </c>
      <c r="E5" s="95" t="e">
        <f>NA()</f>
        <v>#N/A</v>
      </c>
      <c r="F5" s="95">
        <v>9.6</v>
      </c>
      <c r="G5" s="95" t="e">
        <f>NA()</f>
        <v>#N/A</v>
      </c>
      <c r="H5" s="95" t="e">
        <f>NA()</f>
        <v>#N/A</v>
      </c>
      <c r="I5" s="95">
        <v>0.80624999999999991</v>
      </c>
      <c r="J5" s="95"/>
      <c r="K5" s="95" t="s">
        <v>633</v>
      </c>
      <c r="L5" s="95">
        <v>2016</v>
      </c>
      <c r="M5" s="96"/>
      <c r="N5" s="97"/>
      <c r="O5" s="98">
        <f t="shared" si="0"/>
        <v>27.5</v>
      </c>
      <c r="P5" s="99" t="e">
        <f t="shared" si="1"/>
        <v>#N/A</v>
      </c>
      <c r="Q5" s="98" t="e">
        <f>IF(ISERROR(SEARCH("*Japan*",K5)),E5,NA())</f>
        <v>#N/A</v>
      </c>
      <c r="R5" s="99" t="e">
        <f>IF(ISERROR(SEARCH("*Japan*",K5)),NA(),E5)</f>
        <v>#N/A</v>
      </c>
      <c r="S5" s="99" t="e">
        <f>10^(E5/10)/I5</f>
        <v>#N/A</v>
      </c>
    </row>
    <row r="6" spans="1:20" x14ac:dyDescent="0.45">
      <c r="A6" s="95"/>
      <c r="B6" s="95">
        <v>669.5</v>
      </c>
      <c r="C6" s="95">
        <v>27</v>
      </c>
      <c r="D6" s="95">
        <v>16</v>
      </c>
      <c r="E6" s="95" t="e">
        <f>NA()</f>
        <v>#N/A</v>
      </c>
      <c r="F6" s="95">
        <v>9.6</v>
      </c>
      <c r="G6" s="95" t="e">
        <f>NA()</f>
        <v>#N/A</v>
      </c>
      <c r="H6" s="95" t="e">
        <f>NA()</f>
        <v>#N/A</v>
      </c>
      <c r="I6" s="95" t="e">
        <f>NA()</f>
        <v>#N/A</v>
      </c>
      <c r="J6" s="95"/>
      <c r="K6" s="95" t="s">
        <v>633</v>
      </c>
      <c r="L6" s="95">
        <v>2016</v>
      </c>
      <c r="M6" s="96"/>
      <c r="N6" s="97"/>
      <c r="O6" s="98">
        <f t="shared" si="0"/>
        <v>16</v>
      </c>
      <c r="P6" s="99" t="e">
        <f t="shared" si="1"/>
        <v>#N/A</v>
      </c>
      <c r="Q6" s="98" t="e">
        <f>IF(ISERROR(SEARCH("*Japan*",K6)),E6,NA())</f>
        <v>#N/A</v>
      </c>
      <c r="R6" s="99" t="e">
        <f>IF(ISERROR(SEARCH("*Japan*",K6)),NA(),E6)</f>
        <v>#N/A</v>
      </c>
      <c r="S6" s="99" t="e">
        <f>10^(E6/10)/I6</f>
        <v>#N/A</v>
      </c>
    </row>
    <row r="7" spans="1:20" x14ac:dyDescent="0.45">
      <c r="A7" s="95"/>
      <c r="B7" s="95">
        <v>1000</v>
      </c>
      <c r="C7" s="95">
        <v>95</v>
      </c>
      <c r="D7" s="95">
        <v>9</v>
      </c>
      <c r="E7" s="95" t="e">
        <f>NA()</f>
        <v>#N/A</v>
      </c>
      <c r="F7" s="95" t="e">
        <f>NA()</f>
        <v>#N/A</v>
      </c>
      <c r="G7" s="95" t="e">
        <f>NA()</f>
        <v>#N/A</v>
      </c>
      <c r="H7" s="95" t="e">
        <f>NA()</f>
        <v>#N/A</v>
      </c>
      <c r="I7" s="95" t="e">
        <f>NA()</f>
        <v>#N/A</v>
      </c>
      <c r="J7" s="95"/>
      <c r="K7" s="95" t="s">
        <v>633</v>
      </c>
      <c r="L7" s="95">
        <v>2015</v>
      </c>
      <c r="M7" s="96"/>
      <c r="N7" s="97"/>
      <c r="O7" s="98">
        <f t="shared" si="0"/>
        <v>9</v>
      </c>
      <c r="P7" s="99" t="e">
        <f t="shared" si="1"/>
        <v>#N/A</v>
      </c>
      <c r="Q7" s="98" t="e">
        <f t="shared" ref="Q7:Q16" si="2">IF(ISERROR(SEARCH("*Japan*",K7)),E7,NA())</f>
        <v>#N/A</v>
      </c>
      <c r="R7" s="99" t="e">
        <f t="shared" ref="R7:R16" si="3">IF(ISERROR(SEARCH("*Japan*",K7)),NA(),E7)</f>
        <v>#N/A</v>
      </c>
      <c r="S7" s="99" t="e">
        <f t="shared" ref="S7:S16" si="4">10^(E7/10)/I7</f>
        <v>#N/A</v>
      </c>
    </row>
    <row r="8" spans="1:20" x14ac:dyDescent="0.45">
      <c r="A8" s="95"/>
      <c r="B8" s="95">
        <v>850</v>
      </c>
      <c r="C8" s="95">
        <v>66</v>
      </c>
      <c r="D8" s="95">
        <v>13.5</v>
      </c>
      <c r="E8" s="95" t="e">
        <f>NA()</f>
        <v>#N/A</v>
      </c>
      <c r="F8" s="95">
        <v>12</v>
      </c>
      <c r="G8" s="95" t="e">
        <f>NA()</f>
        <v>#N/A</v>
      </c>
      <c r="H8" s="95" t="e">
        <f>NA()</f>
        <v>#N/A</v>
      </c>
      <c r="I8" s="95" t="e">
        <f>NA()</f>
        <v>#N/A</v>
      </c>
      <c r="J8" s="95"/>
      <c r="K8" s="95" t="s">
        <v>633</v>
      </c>
      <c r="L8" s="95">
        <v>2015</v>
      </c>
      <c r="M8" s="96"/>
      <c r="N8" s="97"/>
      <c r="O8" s="98">
        <f t="shared" si="0"/>
        <v>13.5</v>
      </c>
      <c r="P8" s="99" t="e">
        <f t="shared" si="1"/>
        <v>#N/A</v>
      </c>
      <c r="Q8" s="98" t="e">
        <f t="shared" si="2"/>
        <v>#N/A</v>
      </c>
      <c r="R8" s="99" t="e">
        <f t="shared" si="3"/>
        <v>#N/A</v>
      </c>
      <c r="S8" s="99" t="e">
        <f t="shared" si="4"/>
        <v>#N/A</v>
      </c>
    </row>
    <row r="9" spans="1:20" x14ac:dyDescent="0.45">
      <c r="A9" s="95"/>
      <c r="B9" s="95">
        <v>850</v>
      </c>
      <c r="C9" s="95">
        <v>90</v>
      </c>
      <c r="D9" s="95">
        <v>13.6</v>
      </c>
      <c r="E9" s="95" t="e">
        <f>NA()</f>
        <v>#N/A</v>
      </c>
      <c r="F9" s="95">
        <v>12.2</v>
      </c>
      <c r="G9" s="95" t="e">
        <f>NA()</f>
        <v>#N/A</v>
      </c>
      <c r="H9" s="95" t="e">
        <f>NA()</f>
        <v>#N/A</v>
      </c>
      <c r="I9" s="95" t="e">
        <f>NA()</f>
        <v>#N/A</v>
      </c>
      <c r="J9" s="95"/>
      <c r="K9" s="95" t="s">
        <v>633</v>
      </c>
      <c r="L9" s="95">
        <v>2015</v>
      </c>
      <c r="M9" s="96"/>
      <c r="N9" s="97"/>
      <c r="O9" s="98">
        <f t="shared" si="0"/>
        <v>13.6</v>
      </c>
      <c r="P9" s="99" t="e">
        <f t="shared" si="1"/>
        <v>#N/A</v>
      </c>
      <c r="Q9" s="98" t="e">
        <f t="shared" si="2"/>
        <v>#N/A</v>
      </c>
      <c r="R9" s="99" t="e">
        <f t="shared" si="3"/>
        <v>#N/A</v>
      </c>
      <c r="S9" s="99" t="e">
        <f t="shared" si="4"/>
        <v>#N/A</v>
      </c>
    </row>
    <row r="10" spans="1:20" x14ac:dyDescent="0.45">
      <c r="A10" s="95"/>
      <c r="B10" s="95">
        <v>225</v>
      </c>
      <c r="C10" s="95">
        <v>90</v>
      </c>
      <c r="D10" s="95">
        <v>11.25</v>
      </c>
      <c r="E10" s="95" t="e">
        <f>NA()</f>
        <v>#N/A</v>
      </c>
      <c r="F10" s="95">
        <v>6.15</v>
      </c>
      <c r="G10" s="95" t="e">
        <f>NA()</f>
        <v>#N/A</v>
      </c>
      <c r="H10" s="95" t="e">
        <f>NA()</f>
        <v>#N/A</v>
      </c>
      <c r="I10" s="95">
        <v>0.51749999999999996</v>
      </c>
      <c r="J10" s="95"/>
      <c r="K10" s="95" t="s">
        <v>633</v>
      </c>
      <c r="L10" s="95">
        <v>2014</v>
      </c>
      <c r="M10" s="96"/>
      <c r="N10" s="97"/>
      <c r="O10" s="98">
        <f t="shared" si="0"/>
        <v>11.25</v>
      </c>
      <c r="P10" s="99" t="e">
        <f t="shared" si="1"/>
        <v>#N/A</v>
      </c>
      <c r="Q10" s="98" t="e">
        <f t="shared" si="2"/>
        <v>#N/A</v>
      </c>
      <c r="R10" s="99" t="e">
        <f t="shared" si="3"/>
        <v>#N/A</v>
      </c>
      <c r="S10" s="99" t="e">
        <f t="shared" si="4"/>
        <v>#N/A</v>
      </c>
    </row>
    <row r="11" spans="1:20" x14ac:dyDescent="0.45">
      <c r="A11" s="95"/>
      <c r="B11" s="95">
        <v>850</v>
      </c>
      <c r="C11" s="95">
        <v>60</v>
      </c>
      <c r="D11" s="95">
        <v>5</v>
      </c>
      <c r="E11" s="95" t="e">
        <f>NA()</f>
        <v>#N/A</v>
      </c>
      <c r="F11" s="95" t="e">
        <f>NA()</f>
        <v>#N/A</v>
      </c>
      <c r="G11" s="95" t="e">
        <f>NA()</f>
        <v>#N/A</v>
      </c>
      <c r="H11" s="95" t="e">
        <f>NA()</f>
        <v>#N/A</v>
      </c>
      <c r="I11" s="95" t="e">
        <f>NA()</f>
        <v>#N/A</v>
      </c>
      <c r="J11" s="95"/>
      <c r="K11" s="95" t="s">
        <v>633</v>
      </c>
      <c r="L11" s="95">
        <v>2014</v>
      </c>
      <c r="M11" s="96"/>
      <c r="N11" s="97"/>
      <c r="O11" s="98">
        <f t="shared" si="0"/>
        <v>5</v>
      </c>
      <c r="P11" s="99" t="e">
        <f t="shared" si="1"/>
        <v>#N/A</v>
      </c>
      <c r="Q11" s="98" t="e">
        <f t="shared" si="2"/>
        <v>#N/A</v>
      </c>
      <c r="R11" s="99" t="e">
        <f t="shared" si="3"/>
        <v>#N/A</v>
      </c>
      <c r="S11" s="99" t="e">
        <f t="shared" si="4"/>
        <v>#N/A</v>
      </c>
    </row>
    <row r="12" spans="1:20" x14ac:dyDescent="0.45">
      <c r="A12" s="95"/>
      <c r="B12" s="95">
        <v>425</v>
      </c>
      <c r="C12" s="95">
        <v>150</v>
      </c>
      <c r="D12" s="95">
        <v>22</v>
      </c>
      <c r="E12" s="95" t="e">
        <f>NA()</f>
        <v>#N/A</v>
      </c>
      <c r="F12" s="95">
        <v>7.5</v>
      </c>
      <c r="G12" s="95" t="e">
        <f>NA()</f>
        <v>#N/A</v>
      </c>
      <c r="H12" s="95" t="e">
        <f>NA()</f>
        <v>#N/A</v>
      </c>
      <c r="I12" s="95" t="e">
        <f>NA()</f>
        <v>#N/A</v>
      </c>
      <c r="J12" s="95"/>
      <c r="K12" s="95" t="s">
        <v>633</v>
      </c>
      <c r="L12" s="95">
        <v>2014</v>
      </c>
      <c r="M12" s="96"/>
      <c r="N12" s="97"/>
      <c r="O12" s="98">
        <f t="shared" si="0"/>
        <v>22</v>
      </c>
      <c r="P12" s="99" t="e">
        <f t="shared" si="1"/>
        <v>#N/A</v>
      </c>
      <c r="Q12" s="98" t="e">
        <f t="shared" si="2"/>
        <v>#N/A</v>
      </c>
      <c r="R12" s="99" t="e">
        <f t="shared" si="3"/>
        <v>#N/A</v>
      </c>
      <c r="S12" s="99" t="e">
        <f t="shared" si="4"/>
        <v>#N/A</v>
      </c>
    </row>
    <row r="13" spans="1:20" x14ac:dyDescent="0.45">
      <c r="A13" s="95"/>
      <c r="B13" s="95">
        <v>670</v>
      </c>
      <c r="C13" s="95">
        <v>6</v>
      </c>
      <c r="D13" s="95">
        <v>7</v>
      </c>
      <c r="E13" s="95" t="e">
        <f>NA()</f>
        <v>#N/A</v>
      </c>
      <c r="F13" s="95">
        <v>13</v>
      </c>
      <c r="G13" s="95" t="e">
        <f>NA()</f>
        <v>#N/A</v>
      </c>
      <c r="H13" s="95" t="e">
        <f>NA()</f>
        <v>#N/A</v>
      </c>
      <c r="I13" s="95">
        <v>0.24562500000000001</v>
      </c>
      <c r="J13" s="95"/>
      <c r="K13" s="95" t="s">
        <v>633</v>
      </c>
      <c r="L13" s="95">
        <v>2011</v>
      </c>
      <c r="M13" s="96"/>
      <c r="N13" s="97"/>
      <c r="O13" s="98">
        <f t="shared" si="0"/>
        <v>7</v>
      </c>
      <c r="P13" s="99" t="e">
        <f t="shared" si="1"/>
        <v>#N/A</v>
      </c>
      <c r="Q13" s="98" t="e">
        <f t="shared" si="2"/>
        <v>#N/A</v>
      </c>
      <c r="R13" s="99" t="e">
        <f t="shared" si="3"/>
        <v>#N/A</v>
      </c>
      <c r="S13" s="99" t="e">
        <f t="shared" si="4"/>
        <v>#N/A</v>
      </c>
    </row>
    <row r="14" spans="1:20" x14ac:dyDescent="0.45">
      <c r="A14" s="95"/>
      <c r="B14" s="95">
        <v>94</v>
      </c>
      <c r="C14" s="95">
        <v>35</v>
      </c>
      <c r="D14" s="95">
        <v>19.399999999999999</v>
      </c>
      <c r="E14" s="95" t="e">
        <f>NA()</f>
        <v>#N/A</v>
      </c>
      <c r="F14" s="95">
        <v>2.5</v>
      </c>
      <c r="G14" s="95">
        <v>3.5999999999999999E-3</v>
      </c>
      <c r="H14" s="95" t="e">
        <f>NA()</f>
        <v>#N/A</v>
      </c>
      <c r="I14" s="95" t="e">
        <f>NA()</f>
        <v>#N/A</v>
      </c>
      <c r="J14" s="95"/>
      <c r="K14" s="95" t="s">
        <v>633</v>
      </c>
      <c r="L14" s="95">
        <v>2008</v>
      </c>
      <c r="M14" s="96"/>
      <c r="N14" s="97"/>
      <c r="O14" s="98">
        <f t="shared" si="0"/>
        <v>19.399999999999999</v>
      </c>
      <c r="P14" s="99" t="e">
        <f t="shared" si="1"/>
        <v>#N/A</v>
      </c>
      <c r="Q14" s="98" t="e">
        <f t="shared" si="2"/>
        <v>#N/A</v>
      </c>
      <c r="R14" s="99" t="e">
        <f t="shared" si="3"/>
        <v>#N/A</v>
      </c>
      <c r="S14" s="99" t="e">
        <f t="shared" si="4"/>
        <v>#N/A</v>
      </c>
    </row>
    <row r="15" spans="1:20" x14ac:dyDescent="0.45">
      <c r="A15" s="95"/>
      <c r="B15" s="95">
        <v>300</v>
      </c>
      <c r="C15" s="95">
        <v>40</v>
      </c>
      <c r="D15" s="95">
        <v>30</v>
      </c>
      <c r="E15" s="95" t="e">
        <f>NA()</f>
        <v>#N/A</v>
      </c>
      <c r="F15" s="95">
        <v>9.8000000000000007</v>
      </c>
      <c r="G15" s="95">
        <v>6.7000000000000004E-2</v>
      </c>
      <c r="H15" s="95" t="e">
        <f>NA()</f>
        <v>#N/A</v>
      </c>
      <c r="I15" s="95">
        <v>1.2800000000000002</v>
      </c>
      <c r="J15" s="95"/>
      <c r="K15" s="95" t="s">
        <v>634</v>
      </c>
      <c r="L15" s="95">
        <v>2015</v>
      </c>
      <c r="M15" s="96"/>
      <c r="N15" s="97"/>
      <c r="O15" s="98" t="e">
        <f t="shared" si="0"/>
        <v>#N/A</v>
      </c>
      <c r="P15" s="99">
        <f t="shared" si="1"/>
        <v>30</v>
      </c>
      <c r="Q15" s="98" t="e">
        <f t="shared" si="2"/>
        <v>#N/A</v>
      </c>
      <c r="R15" s="99" t="e">
        <f t="shared" si="3"/>
        <v>#N/A</v>
      </c>
      <c r="S15" s="99" t="e">
        <f t="shared" si="4"/>
        <v>#N/A</v>
      </c>
    </row>
    <row r="16" spans="1:20" x14ac:dyDescent="0.45">
      <c r="A16" s="95"/>
      <c r="B16" s="95">
        <v>89</v>
      </c>
      <c r="C16" s="95">
        <v>42</v>
      </c>
      <c r="D16" s="95">
        <v>16.5</v>
      </c>
      <c r="E16" s="95" t="e">
        <f>NA()</f>
        <v>#N/A</v>
      </c>
      <c r="F16" s="95">
        <v>3.5</v>
      </c>
      <c r="G16" s="95">
        <v>1.2E-2</v>
      </c>
      <c r="H16" s="95" t="e">
        <f>NA()</f>
        <v>#N/A</v>
      </c>
      <c r="I16" s="95">
        <v>0.41250000000000003</v>
      </c>
      <c r="J16" s="95"/>
      <c r="K16" s="95" t="s">
        <v>634</v>
      </c>
      <c r="L16" s="95">
        <v>2010</v>
      </c>
      <c r="M16" s="96"/>
      <c r="N16" s="97"/>
      <c r="O16" s="98" t="e">
        <f t="shared" si="0"/>
        <v>#N/A</v>
      </c>
      <c r="P16" s="99">
        <f t="shared" si="1"/>
        <v>16.5</v>
      </c>
      <c r="Q16" s="98" t="e">
        <f t="shared" si="2"/>
        <v>#N/A</v>
      </c>
      <c r="R16" s="99" t="e">
        <f t="shared" si="3"/>
        <v>#N/A</v>
      </c>
      <c r="S16" s="99" t="e">
        <f t="shared" si="4"/>
        <v>#N/A</v>
      </c>
    </row>
    <row r="17" spans="1:19" x14ac:dyDescent="0.45">
      <c r="A17" s="95"/>
      <c r="B17" s="95">
        <v>85.5</v>
      </c>
      <c r="C17" s="95">
        <v>26</v>
      </c>
      <c r="D17" s="95">
        <v>28.5</v>
      </c>
      <c r="E17" s="95" t="e">
        <f>NA()</f>
        <v>#N/A</v>
      </c>
      <c r="F17" s="95">
        <v>4</v>
      </c>
      <c r="G17" s="95" t="e">
        <f>NA()</f>
        <v>#N/A</v>
      </c>
      <c r="H17" s="95" t="e">
        <f>NA()</f>
        <v>#N/A</v>
      </c>
      <c r="I17" s="95">
        <v>3.6399999999999997</v>
      </c>
      <c r="J17" s="95"/>
      <c r="K17" s="95" t="s">
        <v>634</v>
      </c>
      <c r="L17" s="95">
        <v>2009</v>
      </c>
      <c r="M17" s="96"/>
      <c r="N17" s="97"/>
      <c r="O17" s="98" t="e">
        <f t="shared" si="0"/>
        <v>#N/A</v>
      </c>
      <c r="P17" s="99">
        <f t="shared" si="1"/>
        <v>28.5</v>
      </c>
      <c r="Q17" s="98" t="e">
        <f t="shared" ref="Q17:Q25" si="5">IF(ISERROR(SEARCH("*Japan*",K17)),E17,NA())</f>
        <v>#N/A</v>
      </c>
      <c r="R17" s="99" t="e">
        <f t="shared" ref="R17:R25" si="6">IF(ISERROR(SEARCH("*Japan*",K17)),NA(),E17)</f>
        <v>#N/A</v>
      </c>
      <c r="S17" s="99" t="e">
        <f t="shared" ref="S17:S25" si="7">10^(E17/10)/I17</f>
        <v>#N/A</v>
      </c>
    </row>
    <row r="18" spans="1:19" x14ac:dyDescent="0.45">
      <c r="A18" s="95"/>
      <c r="B18" s="95">
        <v>94</v>
      </c>
      <c r="C18" s="95">
        <v>20</v>
      </c>
      <c r="D18" s="95">
        <v>35</v>
      </c>
      <c r="E18" s="95" t="e">
        <f>NA()</f>
        <v>#N/A</v>
      </c>
      <c r="F18" s="95">
        <v>4.5</v>
      </c>
      <c r="G18" s="95">
        <v>0.06</v>
      </c>
      <c r="H18" s="95" t="e">
        <f>NA()</f>
        <v>#N/A</v>
      </c>
      <c r="I18" s="95">
        <v>3</v>
      </c>
      <c r="J18" s="95"/>
      <c r="K18" s="95" t="s">
        <v>634</v>
      </c>
      <c r="L18" s="95">
        <v>2008</v>
      </c>
      <c r="M18" s="96"/>
      <c r="N18" s="97"/>
      <c r="O18" s="98" t="e">
        <f t="shared" si="0"/>
        <v>#N/A</v>
      </c>
      <c r="P18" s="99">
        <f t="shared" si="1"/>
        <v>35</v>
      </c>
      <c r="Q18" s="98" t="e">
        <f t="shared" si="5"/>
        <v>#N/A</v>
      </c>
      <c r="R18" s="99" t="e">
        <f t="shared" si="6"/>
        <v>#N/A</v>
      </c>
      <c r="S18" s="99" t="e">
        <f t="shared" si="7"/>
        <v>#N/A</v>
      </c>
    </row>
    <row r="19" spans="1:19" x14ac:dyDescent="0.45">
      <c r="A19" s="95"/>
      <c r="B19" s="95">
        <v>83</v>
      </c>
      <c r="C19" s="95">
        <v>54</v>
      </c>
      <c r="D19" s="95">
        <v>24.5</v>
      </c>
      <c r="E19" s="95" t="e">
        <f>NA()</f>
        <v>#N/A</v>
      </c>
      <c r="F19" s="95" t="e">
        <f>NA()</f>
        <v>#N/A</v>
      </c>
      <c r="G19" s="95" t="e">
        <f>NA()</f>
        <v>#N/A</v>
      </c>
      <c r="H19" s="95" t="e">
        <f>NA()</f>
        <v>#N/A</v>
      </c>
      <c r="I19" s="95">
        <v>3</v>
      </c>
      <c r="J19" s="95"/>
      <c r="K19" s="95" t="s">
        <v>633</v>
      </c>
      <c r="L19" s="95">
        <v>2016</v>
      </c>
      <c r="M19" s="96"/>
      <c r="N19" s="97"/>
      <c r="O19" s="98">
        <f t="shared" si="0"/>
        <v>24.5</v>
      </c>
      <c r="P19" s="99" t="e">
        <f t="shared" si="1"/>
        <v>#N/A</v>
      </c>
      <c r="Q19" s="98" t="e">
        <f t="shared" si="5"/>
        <v>#N/A</v>
      </c>
      <c r="R19" s="99" t="e">
        <f t="shared" si="6"/>
        <v>#N/A</v>
      </c>
      <c r="S19" s="99" t="e">
        <f t="shared" si="7"/>
        <v>#N/A</v>
      </c>
    </row>
    <row r="20" spans="1:19" x14ac:dyDescent="0.45">
      <c r="A20" s="95"/>
      <c r="B20" s="95">
        <v>87.5</v>
      </c>
      <c r="C20" s="95">
        <v>25</v>
      </c>
      <c r="D20" s="95">
        <v>24</v>
      </c>
      <c r="E20" s="95" t="e">
        <f>NA()</f>
        <v>#N/A</v>
      </c>
      <c r="F20" s="95">
        <v>2.7</v>
      </c>
      <c r="G20" s="95" t="e">
        <f>NA()</f>
        <v>#N/A</v>
      </c>
      <c r="H20" s="95" t="e">
        <f>NA()</f>
        <v>#N/A</v>
      </c>
      <c r="I20" s="95">
        <v>3</v>
      </c>
      <c r="J20" s="95"/>
      <c r="K20" s="95" t="s">
        <v>633</v>
      </c>
      <c r="L20" s="95">
        <v>2016</v>
      </c>
      <c r="M20" s="96"/>
      <c r="N20" s="97"/>
      <c r="O20" s="98">
        <f t="shared" si="0"/>
        <v>24</v>
      </c>
      <c r="P20" s="99" t="e">
        <f t="shared" si="1"/>
        <v>#N/A</v>
      </c>
      <c r="Q20" s="98" t="e">
        <f t="shared" si="5"/>
        <v>#N/A</v>
      </c>
      <c r="R20" s="99" t="e">
        <f t="shared" si="6"/>
        <v>#N/A</v>
      </c>
      <c r="S20" s="99" t="e">
        <f t="shared" si="7"/>
        <v>#N/A</v>
      </c>
    </row>
    <row r="21" spans="1:19" x14ac:dyDescent="0.45">
      <c r="A21" s="95"/>
      <c r="B21" s="95">
        <v>83.5</v>
      </c>
      <c r="C21" s="95">
        <v>5</v>
      </c>
      <c r="D21" s="95">
        <v>31.9</v>
      </c>
      <c r="E21" s="95" t="e">
        <f>NA()</f>
        <v>#N/A</v>
      </c>
      <c r="F21" s="95" t="e">
        <f>NA()</f>
        <v>#N/A</v>
      </c>
      <c r="G21" s="95" t="e">
        <f>NA()</f>
        <v>#N/A</v>
      </c>
      <c r="H21" s="95" t="e">
        <f>NA()</f>
        <v>#N/A</v>
      </c>
      <c r="I21" s="95">
        <v>3</v>
      </c>
      <c r="J21" s="95"/>
      <c r="K21" s="95" t="s">
        <v>633</v>
      </c>
      <c r="L21" s="95">
        <v>2016</v>
      </c>
      <c r="M21" s="96"/>
      <c r="N21" s="97"/>
      <c r="O21" s="98">
        <f t="shared" si="0"/>
        <v>31.9</v>
      </c>
      <c r="P21" s="99" t="e">
        <f t="shared" si="1"/>
        <v>#N/A</v>
      </c>
      <c r="Q21" s="98" t="e">
        <f t="shared" si="5"/>
        <v>#N/A</v>
      </c>
      <c r="R21" s="99" t="e">
        <f t="shared" si="6"/>
        <v>#N/A</v>
      </c>
      <c r="S21" s="99" t="e">
        <f t="shared" si="7"/>
        <v>#N/A</v>
      </c>
    </row>
    <row r="22" spans="1:19" x14ac:dyDescent="0.45">
      <c r="A22" s="95"/>
      <c r="B22" s="95">
        <v>83.5</v>
      </c>
      <c r="C22" s="95">
        <v>5</v>
      </c>
      <c r="D22" s="95">
        <v>28</v>
      </c>
      <c r="E22" s="95" t="e">
        <f>NA()</f>
        <v>#N/A</v>
      </c>
      <c r="F22" s="95">
        <v>1.75</v>
      </c>
      <c r="G22" s="95" t="e">
        <f>NA()</f>
        <v>#N/A</v>
      </c>
      <c r="H22" s="95" t="e">
        <f>NA()</f>
        <v>#N/A</v>
      </c>
      <c r="I22" s="95">
        <v>3</v>
      </c>
      <c r="J22" s="95"/>
      <c r="K22" s="95" t="s">
        <v>633</v>
      </c>
      <c r="L22" s="95">
        <v>2016</v>
      </c>
      <c r="M22" s="96"/>
      <c r="N22" s="97"/>
      <c r="O22" s="98">
        <f t="shared" si="0"/>
        <v>28</v>
      </c>
      <c r="P22" s="99" t="e">
        <f t="shared" si="1"/>
        <v>#N/A</v>
      </c>
      <c r="Q22" s="98" t="e">
        <f t="shared" si="5"/>
        <v>#N/A</v>
      </c>
      <c r="R22" s="99" t="e">
        <f t="shared" si="6"/>
        <v>#N/A</v>
      </c>
      <c r="S22" s="99" t="e">
        <f t="shared" si="7"/>
        <v>#N/A</v>
      </c>
    </row>
    <row r="23" spans="1:19" x14ac:dyDescent="0.45">
      <c r="A23" s="95"/>
      <c r="B23" s="95">
        <v>90</v>
      </c>
      <c r="C23" s="95">
        <v>25.5</v>
      </c>
      <c r="D23" s="95">
        <v>30</v>
      </c>
      <c r="E23" s="95" t="e">
        <f>NA()</f>
        <v>#N/A</v>
      </c>
      <c r="F23" s="95">
        <v>1.9</v>
      </c>
      <c r="G23" s="95">
        <v>3.3000000000000002E-2</v>
      </c>
      <c r="H23" s="95" t="e">
        <f>NA()</f>
        <v>#N/A</v>
      </c>
      <c r="I23" s="95">
        <v>1.7</v>
      </c>
      <c r="J23" s="95"/>
      <c r="K23" s="95" t="s">
        <v>633</v>
      </c>
      <c r="L23" s="95">
        <v>2014</v>
      </c>
      <c r="M23" s="96"/>
      <c r="N23" s="97"/>
      <c r="O23" s="98">
        <f t="shared" si="0"/>
        <v>30</v>
      </c>
      <c r="P23" s="99" t="e">
        <f t="shared" si="1"/>
        <v>#N/A</v>
      </c>
      <c r="Q23" s="98" t="e">
        <f t="shared" si="5"/>
        <v>#N/A</v>
      </c>
      <c r="R23" s="99" t="e">
        <f t="shared" si="6"/>
        <v>#N/A</v>
      </c>
      <c r="S23" s="99" t="e">
        <f t="shared" si="7"/>
        <v>#N/A</v>
      </c>
    </row>
    <row r="24" spans="1:19" x14ac:dyDescent="0.45">
      <c r="A24" s="95"/>
      <c r="B24" s="95">
        <v>94</v>
      </c>
      <c r="C24" s="95" t="e">
        <f>NA()</f>
        <v>#N/A</v>
      </c>
      <c r="D24" s="95" t="e">
        <f>NA()</f>
        <v>#N/A</v>
      </c>
      <c r="E24" s="95" t="e">
        <f>NA()</f>
        <v>#N/A</v>
      </c>
      <c r="F24" s="95">
        <v>1.75</v>
      </c>
      <c r="G24" s="95">
        <v>3.3000000000000002E-2</v>
      </c>
      <c r="H24" s="95" t="e">
        <f>NA()</f>
        <v>#N/A</v>
      </c>
      <c r="I24" s="95">
        <v>1.7</v>
      </c>
      <c r="J24" s="95"/>
      <c r="K24" s="95" t="s">
        <v>633</v>
      </c>
      <c r="L24" s="95">
        <v>2014</v>
      </c>
      <c r="M24" s="96"/>
      <c r="N24" s="97"/>
      <c r="O24" s="98" t="e">
        <f t="shared" si="0"/>
        <v>#N/A</v>
      </c>
      <c r="P24" s="99" t="e">
        <f t="shared" si="1"/>
        <v>#N/A</v>
      </c>
      <c r="Q24" s="98" t="e">
        <f t="shared" si="5"/>
        <v>#N/A</v>
      </c>
      <c r="R24" s="99" t="e">
        <f t="shared" si="6"/>
        <v>#N/A</v>
      </c>
      <c r="S24" s="99" t="e">
        <f t="shared" si="7"/>
        <v>#N/A</v>
      </c>
    </row>
    <row r="25" spans="1:19" x14ac:dyDescent="0.45">
      <c r="A25" s="95"/>
      <c r="B25" s="95">
        <v>96</v>
      </c>
      <c r="C25" s="95">
        <v>12</v>
      </c>
      <c r="D25" s="95">
        <v>21.2</v>
      </c>
      <c r="E25" s="95" t="e">
        <f>NA()</f>
        <v>#N/A</v>
      </c>
      <c r="F25" s="95" t="e">
        <f>NA()</f>
        <v>#N/A</v>
      </c>
      <c r="G25" s="95">
        <v>1.26E-2</v>
      </c>
      <c r="H25" s="95" t="e">
        <f>NA()</f>
        <v>#N/A</v>
      </c>
      <c r="I25" s="95">
        <v>5.44</v>
      </c>
      <c r="J25" s="95"/>
      <c r="K25" s="95" t="s">
        <v>635</v>
      </c>
      <c r="L25" s="95">
        <v>2011</v>
      </c>
      <c r="M25" s="96"/>
      <c r="N25" s="97"/>
      <c r="O25" s="98">
        <f t="shared" si="0"/>
        <v>21.2</v>
      </c>
      <c r="P25" s="99" t="e">
        <f t="shared" si="1"/>
        <v>#N/A</v>
      </c>
      <c r="Q25" s="98" t="e">
        <f t="shared" si="5"/>
        <v>#N/A</v>
      </c>
      <c r="R25" s="99" t="e">
        <f t="shared" si="6"/>
        <v>#N/A</v>
      </c>
      <c r="S25" s="99" t="e">
        <f t="shared" si="7"/>
        <v>#N/A</v>
      </c>
    </row>
    <row r="26" spans="1:19" x14ac:dyDescent="0.45">
      <c r="A26" s="95"/>
      <c r="B26" s="95"/>
      <c r="C26" s="95"/>
      <c r="D26" s="95"/>
      <c r="E26" s="95"/>
      <c r="F26" s="95"/>
      <c r="G26" s="95"/>
      <c r="H26" s="100"/>
      <c r="I26" s="95"/>
      <c r="J26" s="95"/>
      <c r="K26" s="95"/>
      <c r="L26" s="95"/>
      <c r="M26" s="96"/>
      <c r="N26" s="97"/>
      <c r="O26" s="98"/>
      <c r="P26" s="99"/>
      <c r="Q26" s="98"/>
      <c r="R26" s="99"/>
      <c r="S26" s="99"/>
    </row>
    <row r="27" spans="1:19" x14ac:dyDescent="0.45">
      <c r="A27" s="95"/>
      <c r="B27" s="95"/>
      <c r="C27" s="95"/>
      <c r="D27" s="95"/>
      <c r="E27" s="95"/>
      <c r="F27" s="95"/>
      <c r="G27" s="95"/>
      <c r="H27" s="95"/>
      <c r="I27" s="95"/>
      <c r="J27" s="95"/>
      <c r="K27" s="95"/>
      <c r="L27" s="95"/>
      <c r="M27" s="96"/>
      <c r="N27" s="97"/>
      <c r="O27" s="98"/>
      <c r="P27" s="99"/>
      <c r="Q27" s="98"/>
      <c r="R27" s="99"/>
      <c r="S27" s="99"/>
    </row>
    <row r="28" spans="1:19" x14ac:dyDescent="0.45">
      <c r="A28" s="95"/>
      <c r="B28" s="95"/>
      <c r="C28" s="95"/>
      <c r="D28" s="95"/>
      <c r="E28" s="95"/>
      <c r="F28" s="95"/>
      <c r="G28" s="95"/>
      <c r="H28" s="95"/>
      <c r="I28" s="95"/>
      <c r="J28" s="95"/>
      <c r="K28" s="95"/>
      <c r="L28" s="95"/>
      <c r="M28" s="96"/>
      <c r="N28" s="97"/>
      <c r="O28" s="98"/>
      <c r="P28" s="99"/>
      <c r="Q28" s="98"/>
      <c r="R28" s="99"/>
      <c r="S28" s="99"/>
    </row>
    <row r="29" spans="1:19" x14ac:dyDescent="0.45">
      <c r="A29" s="95"/>
      <c r="B29" s="95"/>
      <c r="C29" s="95"/>
      <c r="D29" s="95"/>
      <c r="E29" s="95"/>
      <c r="F29" s="95"/>
      <c r="G29" s="95"/>
      <c r="H29" s="95"/>
      <c r="I29" s="95"/>
      <c r="J29" s="95"/>
      <c r="K29" s="95"/>
      <c r="L29" s="95"/>
      <c r="M29" s="96"/>
      <c r="N29" s="97"/>
      <c r="O29" s="98"/>
      <c r="P29" s="99"/>
      <c r="Q29" s="98"/>
      <c r="R29" s="99"/>
      <c r="S29" s="99"/>
    </row>
    <row r="30" spans="1:19" x14ac:dyDescent="0.45">
      <c r="A30" s="99"/>
      <c r="B30" s="99"/>
      <c r="C30" s="99"/>
      <c r="D30" s="99"/>
      <c r="E30" s="99"/>
      <c r="F30" s="99"/>
      <c r="G30" s="99"/>
      <c r="H30" s="99"/>
      <c r="I30" s="99"/>
      <c r="J30" s="99"/>
      <c r="K30" s="99"/>
      <c r="L30" s="99"/>
      <c r="M30" s="101"/>
      <c r="N30" s="97"/>
      <c r="O30" s="98"/>
      <c r="P30" s="99"/>
      <c r="Q30" s="98"/>
      <c r="R30" s="99"/>
      <c r="S30" s="99"/>
    </row>
    <row r="31" spans="1:19" x14ac:dyDescent="0.45">
      <c r="A31" s="99"/>
      <c r="B31" s="99"/>
      <c r="C31" s="99"/>
      <c r="D31" s="99"/>
      <c r="E31" s="99"/>
      <c r="F31" s="99"/>
      <c r="G31" s="99"/>
      <c r="H31" s="99"/>
      <c r="I31" s="99"/>
      <c r="J31" s="99"/>
      <c r="K31" s="99"/>
      <c r="L31" s="99"/>
      <c r="M31" s="101"/>
      <c r="N31" s="97"/>
      <c r="O31" s="98"/>
      <c r="P31" s="99"/>
      <c r="Q31" s="98"/>
      <c r="R31" s="99"/>
      <c r="S31" s="99"/>
    </row>
    <row r="32" spans="1:19" x14ac:dyDescent="0.45">
      <c r="A32" s="99"/>
      <c r="B32" s="99"/>
      <c r="C32" s="99"/>
      <c r="D32" s="99"/>
      <c r="E32" s="99"/>
      <c r="F32" s="99"/>
      <c r="G32" s="99"/>
      <c r="H32" s="99"/>
      <c r="I32" s="99"/>
      <c r="J32" s="99"/>
      <c r="K32" s="99"/>
      <c r="L32" s="99"/>
      <c r="M32" s="101"/>
      <c r="N32" s="97"/>
      <c r="O32" s="98"/>
      <c r="P32" s="99"/>
      <c r="Q32" s="98"/>
      <c r="R32" s="99"/>
      <c r="S32" s="99"/>
    </row>
    <row r="33" spans="1:19" x14ac:dyDescent="0.45">
      <c r="A33" s="99"/>
      <c r="B33" s="99"/>
      <c r="C33" s="99"/>
      <c r="D33" s="99"/>
      <c r="E33" s="99"/>
      <c r="F33" s="99"/>
      <c r="G33" s="99"/>
      <c r="H33" s="99"/>
      <c r="I33" s="99"/>
      <c r="J33" s="99"/>
      <c r="K33" s="99"/>
      <c r="L33" s="99"/>
      <c r="M33" s="101"/>
      <c r="N33" s="97"/>
      <c r="O33" s="98"/>
      <c r="P33" s="99"/>
      <c r="Q33" s="98"/>
      <c r="R33" s="99"/>
      <c r="S33" s="99"/>
    </row>
    <row r="34" spans="1:19" x14ac:dyDescent="0.45">
      <c r="A34" s="99"/>
      <c r="B34" s="99"/>
      <c r="C34" s="99"/>
      <c r="D34" s="99"/>
      <c r="E34" s="99"/>
      <c r="F34" s="99"/>
      <c r="G34" s="99"/>
      <c r="H34" s="99"/>
      <c r="I34" s="99"/>
      <c r="J34" s="99"/>
      <c r="K34" s="99"/>
      <c r="L34" s="99"/>
      <c r="M34" s="101"/>
      <c r="N34" s="97"/>
      <c r="O34" s="98"/>
      <c r="P34" s="99"/>
      <c r="Q34" s="98"/>
      <c r="R34" s="99"/>
      <c r="S34" s="99"/>
    </row>
    <row r="35" spans="1:19" x14ac:dyDescent="0.45">
      <c r="A35" s="99"/>
      <c r="B35" s="99"/>
      <c r="C35" s="99"/>
      <c r="D35" s="99"/>
      <c r="E35" s="99"/>
      <c r="F35" s="99"/>
      <c r="G35" s="99"/>
      <c r="H35" s="99"/>
      <c r="I35" s="99"/>
      <c r="J35" s="99"/>
      <c r="K35" s="99"/>
      <c r="L35" s="99"/>
      <c r="M35" s="101"/>
      <c r="N35" s="97"/>
      <c r="O35" s="98"/>
      <c r="P35" s="99"/>
      <c r="Q35" s="98"/>
      <c r="R35" s="99"/>
      <c r="S35" s="99"/>
    </row>
    <row r="36" spans="1:19" x14ac:dyDescent="0.45">
      <c r="A36" s="99"/>
      <c r="B36" s="99"/>
      <c r="C36" s="99"/>
      <c r="D36" s="99"/>
      <c r="E36" s="99"/>
      <c r="F36" s="99"/>
      <c r="G36" s="99"/>
      <c r="H36" s="99"/>
      <c r="I36" s="99"/>
      <c r="J36" s="99"/>
      <c r="K36" s="99"/>
      <c r="L36" s="99"/>
      <c r="M36" s="101"/>
      <c r="N36" s="97"/>
      <c r="O36" s="98"/>
      <c r="P36" s="99"/>
      <c r="Q36" s="98"/>
      <c r="R36" s="99"/>
      <c r="S36" s="99"/>
    </row>
    <row r="37" spans="1:19" x14ac:dyDescent="0.45">
      <c r="A37" s="99"/>
      <c r="B37" s="99"/>
      <c r="C37" s="99"/>
      <c r="D37" s="99"/>
      <c r="E37" s="99"/>
      <c r="F37" s="99"/>
      <c r="G37" s="99"/>
      <c r="H37" s="99"/>
      <c r="I37" s="99"/>
      <c r="J37" s="99"/>
      <c r="K37" s="99"/>
      <c r="L37" s="99"/>
      <c r="M37" s="101"/>
      <c r="N37" s="97"/>
      <c r="O37" s="98"/>
      <c r="P37" s="99"/>
      <c r="Q37" s="98"/>
      <c r="R37" s="99"/>
      <c r="S37" s="99"/>
    </row>
    <row r="38" spans="1:19" x14ac:dyDescent="0.45">
      <c r="A38" s="99"/>
      <c r="B38" s="99"/>
      <c r="C38" s="99"/>
      <c r="D38" s="99"/>
      <c r="E38" s="99"/>
      <c r="F38" s="99"/>
      <c r="G38" s="99"/>
      <c r="H38" s="99"/>
      <c r="I38" s="99"/>
      <c r="J38" s="99"/>
      <c r="K38" s="99"/>
      <c r="L38" s="99"/>
      <c r="M38" s="101"/>
      <c r="N38" s="97"/>
      <c r="O38" s="98"/>
      <c r="P38" s="99"/>
      <c r="Q38" s="98"/>
      <c r="R38" s="99"/>
      <c r="S38" s="99"/>
    </row>
    <row r="39" spans="1:19" x14ac:dyDescent="0.45">
      <c r="A39" s="99"/>
      <c r="B39" s="99"/>
      <c r="C39" s="99"/>
      <c r="D39" s="99"/>
      <c r="E39" s="99"/>
      <c r="F39" s="99"/>
      <c r="G39" s="99"/>
      <c r="H39" s="99"/>
      <c r="I39" s="99"/>
      <c r="J39" s="99"/>
      <c r="K39" s="99"/>
      <c r="L39" s="99"/>
      <c r="M39" s="101"/>
      <c r="N39" s="97"/>
      <c r="O39" s="98"/>
      <c r="P39" s="99"/>
      <c r="Q39" s="98"/>
      <c r="R39" s="99"/>
      <c r="S39" s="99"/>
    </row>
    <row r="40" spans="1:19" x14ac:dyDescent="0.45">
      <c r="A40" s="99"/>
      <c r="B40" s="99"/>
      <c r="C40" s="99"/>
      <c r="D40" s="99"/>
      <c r="E40" s="99"/>
      <c r="F40" s="99"/>
      <c r="G40" s="99"/>
      <c r="H40" s="99"/>
      <c r="I40" s="99"/>
      <c r="J40" s="99"/>
      <c r="K40" s="99"/>
      <c r="L40" s="99"/>
      <c r="M40" s="101"/>
      <c r="N40" s="97"/>
      <c r="O40" s="98"/>
      <c r="P40" s="99"/>
      <c r="Q40" s="98"/>
      <c r="R40" s="99"/>
      <c r="S40" s="99"/>
    </row>
    <row r="41" spans="1:19" x14ac:dyDescent="0.45">
      <c r="A41" s="99"/>
      <c r="B41" s="99"/>
      <c r="C41" s="99"/>
      <c r="D41" s="99"/>
      <c r="E41" s="99"/>
      <c r="F41" s="99"/>
      <c r="G41" s="99"/>
      <c r="H41" s="99"/>
      <c r="I41" s="99"/>
      <c r="J41" s="99"/>
      <c r="K41" s="99"/>
      <c r="L41" s="99"/>
      <c r="M41" s="101"/>
      <c r="N41" s="97"/>
      <c r="O41" s="98"/>
      <c r="P41" s="99"/>
      <c r="Q41" s="98"/>
      <c r="R41" s="99"/>
      <c r="S41" s="99"/>
    </row>
    <row r="42" spans="1:19" x14ac:dyDescent="0.45">
      <c r="A42" s="99"/>
      <c r="B42" s="99"/>
      <c r="C42" s="99"/>
      <c r="D42" s="99"/>
      <c r="E42" s="99"/>
      <c r="F42" s="99"/>
      <c r="G42" s="99"/>
      <c r="H42" s="99"/>
      <c r="I42" s="99"/>
      <c r="J42" s="99"/>
      <c r="K42" s="99"/>
      <c r="L42" s="99"/>
      <c r="M42" s="101"/>
      <c r="N42" s="97"/>
      <c r="O42" s="98"/>
      <c r="P42" s="99"/>
      <c r="Q42" s="98"/>
      <c r="R42" s="99"/>
      <c r="S42" s="99"/>
    </row>
    <row r="43" spans="1:19" x14ac:dyDescent="0.45">
      <c r="A43" s="99"/>
      <c r="B43" s="99"/>
      <c r="C43" s="99"/>
      <c r="D43" s="99"/>
      <c r="E43" s="99"/>
      <c r="F43" s="99"/>
      <c r="G43" s="99"/>
      <c r="H43" s="99"/>
      <c r="I43" s="99"/>
      <c r="J43" s="99"/>
      <c r="K43" s="99"/>
      <c r="L43" s="99"/>
      <c r="M43" s="101"/>
      <c r="N43" s="97"/>
      <c r="O43" s="98"/>
      <c r="P43" s="99"/>
      <c r="Q43" s="98"/>
      <c r="R43" s="99"/>
      <c r="S43" s="99"/>
    </row>
    <row r="44" spans="1:19" x14ac:dyDescent="0.45">
      <c r="A44" s="99"/>
      <c r="B44" s="99"/>
      <c r="C44" s="99"/>
      <c r="D44" s="99"/>
      <c r="E44" s="99"/>
      <c r="F44" s="99"/>
      <c r="G44" s="99"/>
      <c r="H44" s="99"/>
      <c r="I44" s="99"/>
      <c r="J44" s="99"/>
      <c r="K44" s="99"/>
      <c r="L44" s="99"/>
      <c r="M44" s="101"/>
      <c r="N44" s="97"/>
      <c r="O44" s="98"/>
      <c r="P44" s="99"/>
      <c r="Q44" s="98"/>
      <c r="R44" s="99"/>
      <c r="S44" s="99"/>
    </row>
    <row r="45" spans="1:19" x14ac:dyDescent="0.45">
      <c r="A45" s="99"/>
      <c r="B45" s="99"/>
      <c r="C45" s="99"/>
      <c r="D45" s="99"/>
      <c r="E45" s="99"/>
      <c r="F45" s="99"/>
      <c r="G45" s="99"/>
      <c r="H45" s="99"/>
      <c r="I45" s="99"/>
      <c r="J45" s="99"/>
      <c r="K45" s="99"/>
      <c r="L45" s="99"/>
      <c r="M45" s="101"/>
      <c r="N45" s="97"/>
      <c r="O45" s="98"/>
      <c r="P45" s="99"/>
      <c r="Q45" s="98"/>
      <c r="R45" s="99"/>
      <c r="S45" s="99"/>
    </row>
    <row r="46" spans="1:19" x14ac:dyDescent="0.45">
      <c r="A46" s="99"/>
      <c r="B46" s="99"/>
      <c r="C46" s="99"/>
      <c r="D46" s="99"/>
      <c r="E46" s="99"/>
      <c r="F46" s="99"/>
      <c r="G46" s="99"/>
      <c r="H46" s="99"/>
      <c r="I46" s="99"/>
      <c r="J46" s="99"/>
      <c r="K46" s="99"/>
      <c r="L46" s="99"/>
      <c r="M46" s="101"/>
      <c r="N46" s="97"/>
      <c r="O46" s="98"/>
      <c r="P46" s="99"/>
      <c r="Q46" s="98"/>
      <c r="R46" s="99"/>
      <c r="S46" s="99"/>
    </row>
    <row r="47" spans="1:19" x14ac:dyDescent="0.45">
      <c r="A47" s="99"/>
      <c r="B47" s="99"/>
      <c r="C47" s="99"/>
      <c r="D47" s="99"/>
      <c r="E47" s="99"/>
      <c r="F47" s="99"/>
      <c r="G47" s="99"/>
      <c r="H47" s="99"/>
      <c r="I47" s="99"/>
      <c r="J47" s="99"/>
      <c r="K47" s="99"/>
      <c r="L47" s="99"/>
      <c r="M47" s="101"/>
      <c r="N47" s="97"/>
      <c r="O47" s="98"/>
      <c r="P47" s="99"/>
      <c r="Q47" s="98"/>
      <c r="R47" s="99"/>
      <c r="S47" s="99"/>
    </row>
    <row r="48" spans="1:19" x14ac:dyDescent="0.45">
      <c r="A48" s="99"/>
      <c r="B48" s="99"/>
      <c r="C48" s="99"/>
      <c r="D48" s="99"/>
      <c r="E48" s="99"/>
      <c r="F48" s="99"/>
      <c r="G48" s="99"/>
      <c r="H48" s="99"/>
      <c r="I48" s="99"/>
      <c r="J48" s="99"/>
      <c r="K48" s="99"/>
      <c r="L48" s="99"/>
      <c r="M48" s="101"/>
      <c r="N48" s="97"/>
      <c r="O48" s="98"/>
      <c r="P48" s="99"/>
      <c r="Q48" s="98"/>
      <c r="R48" s="99"/>
      <c r="S48" s="99"/>
    </row>
    <row r="49" spans="1:19" x14ac:dyDescent="0.45">
      <c r="A49" s="99"/>
      <c r="B49" s="99"/>
      <c r="C49" s="99"/>
      <c r="D49" s="99"/>
      <c r="E49" s="99"/>
      <c r="F49" s="99"/>
      <c r="G49" s="99"/>
      <c r="H49" s="99"/>
      <c r="I49" s="99"/>
      <c r="J49" s="99"/>
      <c r="K49" s="99"/>
      <c r="L49" s="99"/>
      <c r="M49" s="101"/>
      <c r="N49" s="97"/>
      <c r="O49" s="98"/>
      <c r="P49" s="99"/>
      <c r="Q49" s="98"/>
      <c r="R49" s="99"/>
      <c r="S49" s="99"/>
    </row>
    <row r="50" spans="1:19" x14ac:dyDescent="0.45">
      <c r="A50" s="99"/>
      <c r="B50" s="99"/>
      <c r="C50" s="99"/>
      <c r="D50" s="99"/>
      <c r="E50" s="99"/>
      <c r="F50" s="99"/>
      <c r="G50" s="99"/>
      <c r="H50" s="99"/>
      <c r="I50" s="99"/>
      <c r="J50" s="99"/>
      <c r="K50" s="99"/>
      <c r="L50" s="99"/>
      <c r="M50" s="101"/>
      <c r="N50" s="97"/>
      <c r="O50" s="98"/>
      <c r="P50" s="99"/>
      <c r="Q50" s="98"/>
      <c r="R50" s="99"/>
      <c r="S50" s="99"/>
    </row>
    <row r="51" spans="1:19" x14ac:dyDescent="0.45">
      <c r="A51" s="99"/>
      <c r="B51" s="99"/>
      <c r="C51" s="99"/>
      <c r="D51" s="99"/>
      <c r="E51" s="99"/>
      <c r="F51" s="99"/>
      <c r="G51" s="99"/>
      <c r="H51" s="99"/>
      <c r="I51" s="99"/>
      <c r="J51" s="99"/>
      <c r="K51" s="99"/>
      <c r="L51" s="99"/>
      <c r="M51" s="101"/>
      <c r="N51" s="97"/>
      <c r="O51" s="98"/>
      <c r="P51" s="99"/>
      <c r="Q51" s="98"/>
      <c r="R51" s="99"/>
      <c r="S51" s="99"/>
    </row>
    <row r="52" spans="1:19" x14ac:dyDescent="0.45">
      <c r="A52" s="99"/>
      <c r="B52" s="99"/>
      <c r="C52" s="99"/>
      <c r="D52" s="99"/>
      <c r="E52" s="99"/>
      <c r="F52" s="99"/>
      <c r="G52" s="99"/>
      <c r="H52" s="99"/>
      <c r="I52" s="99"/>
      <c r="J52" s="99"/>
      <c r="K52" s="99"/>
      <c r="L52" s="99"/>
      <c r="M52" s="101"/>
      <c r="N52" s="97"/>
      <c r="O52" s="98"/>
      <c r="P52" s="99"/>
      <c r="Q52" s="98"/>
      <c r="R52" s="99"/>
      <c r="S52" s="99"/>
    </row>
    <row r="53" spans="1:19" x14ac:dyDescent="0.45">
      <c r="A53" s="99"/>
      <c r="B53" s="99"/>
      <c r="C53" s="99"/>
      <c r="D53" s="99"/>
      <c r="E53" s="99"/>
      <c r="F53" s="99"/>
      <c r="G53" s="99"/>
      <c r="H53" s="99"/>
      <c r="I53" s="99"/>
      <c r="J53" s="99"/>
      <c r="K53" s="99"/>
      <c r="L53" s="99"/>
      <c r="M53" s="101"/>
      <c r="N53" s="97"/>
      <c r="O53" s="98"/>
      <c r="P53" s="99"/>
      <c r="Q53" s="98"/>
      <c r="R53" s="99"/>
      <c r="S53" s="99"/>
    </row>
    <row r="54" spans="1:19" x14ac:dyDescent="0.45">
      <c r="A54" s="99"/>
      <c r="B54" s="99"/>
      <c r="C54" s="99"/>
      <c r="D54" s="99"/>
      <c r="E54" s="99"/>
      <c r="F54" s="99"/>
      <c r="G54" s="99"/>
      <c r="H54" s="99"/>
      <c r="I54" s="99"/>
      <c r="J54" s="99"/>
      <c r="K54" s="99"/>
      <c r="L54" s="99"/>
      <c r="M54" s="101"/>
      <c r="N54" s="97"/>
      <c r="O54" s="98"/>
      <c r="P54" s="99"/>
      <c r="Q54" s="98"/>
      <c r="R54" s="99"/>
      <c r="S54" s="99"/>
    </row>
    <row r="55" spans="1:19" x14ac:dyDescent="0.45">
      <c r="A55" s="99"/>
      <c r="B55" s="99"/>
      <c r="C55" s="99"/>
      <c r="D55" s="99"/>
      <c r="E55" s="99"/>
      <c r="F55" s="99"/>
      <c r="G55" s="99"/>
      <c r="H55" s="99"/>
      <c r="I55" s="99"/>
      <c r="J55" s="99"/>
      <c r="K55" s="99"/>
      <c r="L55" s="99"/>
      <c r="M55" s="101"/>
      <c r="N55" s="97"/>
      <c r="O55" s="98"/>
      <c r="P55" s="99"/>
      <c r="Q55" s="98"/>
      <c r="R55" s="99"/>
      <c r="S55" s="99"/>
    </row>
    <row r="56" spans="1:19" x14ac:dyDescent="0.45">
      <c r="A56" s="99"/>
      <c r="B56" s="99"/>
      <c r="C56" s="99"/>
      <c r="D56" s="99"/>
      <c r="E56" s="99"/>
      <c r="F56" s="99"/>
      <c r="G56" s="99"/>
      <c r="H56" s="99"/>
      <c r="I56" s="99"/>
      <c r="J56" s="99"/>
      <c r="K56" s="99"/>
      <c r="L56" s="99"/>
      <c r="M56" s="101"/>
      <c r="N56" s="97"/>
      <c r="O56" s="98"/>
      <c r="P56" s="99"/>
      <c r="Q56" s="98"/>
      <c r="R56" s="99"/>
      <c r="S56" s="99"/>
    </row>
    <row r="57" spans="1:19" x14ac:dyDescent="0.45">
      <c r="A57" s="99"/>
      <c r="B57" s="99"/>
      <c r="C57" s="99"/>
      <c r="D57" s="99"/>
      <c r="E57" s="99"/>
      <c r="F57" s="99"/>
      <c r="G57" s="99"/>
      <c r="H57" s="99"/>
      <c r="I57" s="99"/>
      <c r="J57" s="99"/>
      <c r="K57" s="99"/>
      <c r="L57" s="99"/>
      <c r="M57" s="101"/>
      <c r="N57" s="97"/>
      <c r="O57" s="98"/>
      <c r="P57" s="99"/>
      <c r="Q57" s="98"/>
      <c r="R57" s="99"/>
      <c r="S57" s="99"/>
    </row>
    <row r="58" spans="1:19" x14ac:dyDescent="0.45">
      <c r="A58" s="99"/>
      <c r="B58" s="99"/>
      <c r="C58" s="99"/>
      <c r="D58" s="99"/>
      <c r="E58" s="99"/>
      <c r="F58" s="99"/>
      <c r="G58" s="99"/>
      <c r="H58" s="99"/>
      <c r="I58" s="99"/>
      <c r="J58" s="99"/>
      <c r="K58" s="99"/>
      <c r="L58" s="99"/>
      <c r="M58" s="101"/>
      <c r="N58" s="97"/>
      <c r="O58" s="98"/>
      <c r="P58" s="99"/>
      <c r="Q58" s="98"/>
      <c r="R58" s="99"/>
      <c r="S58" s="99"/>
    </row>
    <row r="59" spans="1:19" x14ac:dyDescent="0.45">
      <c r="A59" s="99"/>
      <c r="B59" s="99"/>
      <c r="C59" s="99"/>
      <c r="D59" s="99"/>
      <c r="E59" s="99"/>
      <c r="F59" s="99"/>
      <c r="G59" s="99"/>
      <c r="H59" s="99"/>
      <c r="I59" s="99"/>
      <c r="J59" s="99"/>
      <c r="K59" s="99"/>
      <c r="L59" s="99"/>
      <c r="M59" s="101"/>
      <c r="N59" s="97"/>
      <c r="O59" s="98"/>
      <c r="P59" s="99"/>
      <c r="Q59" s="98"/>
      <c r="R59" s="99"/>
      <c r="S59" s="99"/>
    </row>
    <row r="60" spans="1:19" x14ac:dyDescent="0.45">
      <c r="A60" s="99"/>
      <c r="B60" s="99"/>
      <c r="C60" s="99"/>
      <c r="D60" s="99"/>
      <c r="E60" s="99"/>
      <c r="F60" s="99"/>
      <c r="G60" s="99"/>
      <c r="H60" s="99"/>
      <c r="I60" s="99"/>
      <c r="J60" s="99"/>
      <c r="K60" s="99"/>
      <c r="L60" s="99"/>
      <c r="M60" s="101"/>
      <c r="N60" s="97"/>
      <c r="O60" s="98"/>
      <c r="P60" s="99"/>
      <c r="Q60" s="98"/>
      <c r="R60" s="99"/>
      <c r="S60" s="99"/>
    </row>
    <row r="61" spans="1:19" x14ac:dyDescent="0.45">
      <c r="A61" s="99"/>
      <c r="B61" s="99"/>
      <c r="C61" s="99"/>
      <c r="D61" s="99"/>
      <c r="E61" s="99"/>
      <c r="F61" s="99"/>
      <c r="G61" s="99"/>
      <c r="H61" s="99"/>
      <c r="I61" s="99"/>
      <c r="J61" s="99"/>
      <c r="K61" s="99"/>
      <c r="L61" s="99"/>
      <c r="M61" s="101"/>
      <c r="N61" s="97"/>
      <c r="O61" s="98"/>
      <c r="P61" s="99"/>
      <c r="Q61" s="98"/>
      <c r="R61" s="99"/>
      <c r="S61" s="99"/>
    </row>
    <row r="62" spans="1:19" x14ac:dyDescent="0.45">
      <c r="A62" s="99"/>
      <c r="B62" s="99"/>
      <c r="C62" s="99"/>
      <c r="D62" s="99"/>
      <c r="E62" s="99"/>
      <c r="F62" s="99"/>
      <c r="G62" s="99"/>
      <c r="H62" s="99"/>
      <c r="I62" s="99"/>
      <c r="J62" s="99"/>
      <c r="K62" s="99"/>
      <c r="L62" s="99"/>
      <c r="M62" s="101"/>
      <c r="N62" s="97"/>
      <c r="O62" s="98"/>
      <c r="P62" s="99"/>
      <c r="Q62" s="98"/>
      <c r="R62" s="99"/>
      <c r="S62" s="99"/>
    </row>
    <row r="63" spans="1:19" x14ac:dyDescent="0.45">
      <c r="A63" s="99"/>
      <c r="B63" s="99"/>
      <c r="C63" s="99"/>
      <c r="D63" s="99"/>
      <c r="E63" s="99"/>
      <c r="F63" s="99"/>
      <c r="G63" s="99"/>
      <c r="H63" s="99"/>
      <c r="I63" s="99"/>
      <c r="J63" s="99"/>
      <c r="K63" s="99"/>
      <c r="L63" s="99"/>
      <c r="M63" s="101"/>
      <c r="N63" s="97"/>
      <c r="O63" s="98"/>
      <c r="P63" s="99"/>
      <c r="Q63" s="98"/>
      <c r="R63" s="99"/>
      <c r="S63" s="99"/>
    </row>
    <row r="64" spans="1:19" x14ac:dyDescent="0.45">
      <c r="A64" s="99"/>
      <c r="B64" s="99"/>
      <c r="C64" s="99"/>
      <c r="D64" s="99"/>
      <c r="E64" s="99"/>
      <c r="F64" s="99"/>
      <c r="G64" s="99"/>
      <c r="H64" s="99"/>
      <c r="I64" s="99"/>
      <c r="J64" s="99"/>
      <c r="K64" s="99"/>
      <c r="L64" s="99"/>
      <c r="M64" s="101"/>
      <c r="N64" s="97"/>
      <c r="O64" s="98"/>
      <c r="P64" s="99"/>
      <c r="Q64" s="98"/>
      <c r="R64" s="99"/>
      <c r="S64" s="99"/>
    </row>
    <row r="65" spans="1:19" x14ac:dyDescent="0.45">
      <c r="A65" s="99"/>
      <c r="B65" s="99"/>
      <c r="C65" s="99"/>
      <c r="D65" s="99"/>
      <c r="E65" s="99"/>
      <c r="F65" s="99"/>
      <c r="G65" s="99"/>
      <c r="H65" s="99"/>
      <c r="I65" s="99"/>
      <c r="J65" s="99"/>
      <c r="K65" s="99"/>
      <c r="L65" s="99"/>
      <c r="M65" s="101"/>
      <c r="N65" s="97"/>
      <c r="O65" s="98"/>
      <c r="P65" s="99"/>
      <c r="Q65" s="98"/>
      <c r="R65" s="99"/>
      <c r="S65" s="99"/>
    </row>
    <row r="66" spans="1:19" x14ac:dyDescent="0.45">
      <c r="A66" s="99"/>
      <c r="B66" s="99"/>
      <c r="C66" s="99"/>
      <c r="D66" s="99"/>
      <c r="E66" s="99"/>
      <c r="F66" s="99"/>
      <c r="G66" s="99"/>
      <c r="H66" s="99"/>
      <c r="I66" s="99"/>
      <c r="J66" s="99"/>
      <c r="K66" s="99"/>
      <c r="L66" s="99"/>
      <c r="M66" s="101"/>
      <c r="N66" s="97"/>
      <c r="O66" s="98"/>
      <c r="P66" s="99"/>
      <c r="Q66" s="98"/>
      <c r="R66" s="99"/>
      <c r="S66" s="99"/>
    </row>
    <row r="67" spans="1:19" x14ac:dyDescent="0.45">
      <c r="A67" s="99"/>
      <c r="B67" s="99"/>
      <c r="C67" s="99"/>
      <c r="D67" s="99"/>
      <c r="E67" s="99"/>
      <c r="F67" s="99"/>
      <c r="G67" s="99"/>
      <c r="H67" s="99"/>
      <c r="I67" s="99"/>
      <c r="J67" s="99"/>
      <c r="K67" s="99"/>
      <c r="L67" s="99"/>
      <c r="M67" s="101"/>
      <c r="N67" s="97"/>
      <c r="O67" s="98"/>
      <c r="P67" s="99"/>
      <c r="Q67" s="98"/>
      <c r="R67" s="99"/>
      <c r="S67" s="99"/>
    </row>
    <row r="68" spans="1:19" x14ac:dyDescent="0.45">
      <c r="A68" s="99"/>
      <c r="B68" s="99"/>
      <c r="C68" s="99"/>
      <c r="D68" s="99"/>
      <c r="E68" s="99"/>
      <c r="F68" s="99"/>
      <c r="G68" s="99"/>
      <c r="H68" s="99"/>
      <c r="I68" s="99"/>
      <c r="J68" s="99"/>
      <c r="K68" s="99"/>
      <c r="L68" s="99"/>
      <c r="M68" s="101"/>
      <c r="N68" s="97"/>
      <c r="O68" s="98"/>
      <c r="P68" s="99"/>
      <c r="Q68" s="98"/>
      <c r="R68" s="99"/>
      <c r="S68" s="99"/>
    </row>
    <row r="69" spans="1:19" x14ac:dyDescent="0.45">
      <c r="A69" s="99"/>
      <c r="B69" s="99"/>
      <c r="C69" s="99"/>
      <c r="D69" s="99"/>
      <c r="E69" s="99"/>
      <c r="F69" s="99"/>
      <c r="G69" s="99"/>
      <c r="H69" s="99"/>
      <c r="I69" s="99"/>
      <c r="J69" s="99"/>
      <c r="K69" s="99"/>
      <c r="L69" s="99"/>
      <c r="M69" s="101"/>
      <c r="N69" s="97"/>
      <c r="O69" s="98"/>
      <c r="P69" s="99"/>
      <c r="Q69" s="98"/>
      <c r="R69" s="99"/>
      <c r="S69" s="99"/>
    </row>
    <row r="70" spans="1:19" x14ac:dyDescent="0.45">
      <c r="A70" s="99"/>
      <c r="B70" s="99"/>
      <c r="C70" s="99"/>
      <c r="D70" s="99"/>
      <c r="E70" s="99"/>
      <c r="F70" s="99"/>
      <c r="G70" s="99"/>
      <c r="H70" s="99"/>
      <c r="I70" s="99"/>
      <c r="J70" s="99"/>
      <c r="K70" s="99"/>
      <c r="L70" s="99"/>
      <c r="M70" s="101"/>
      <c r="N70" s="97"/>
      <c r="O70" s="98"/>
      <c r="P70" s="99"/>
      <c r="Q70" s="98"/>
      <c r="R70" s="99"/>
      <c r="S70" s="99"/>
    </row>
    <row r="71" spans="1:19" x14ac:dyDescent="0.45">
      <c r="A71" s="99"/>
      <c r="B71" s="99"/>
      <c r="C71" s="99"/>
      <c r="D71" s="99"/>
      <c r="E71" s="99"/>
      <c r="F71" s="99"/>
      <c r="G71" s="99"/>
      <c r="H71" s="99"/>
      <c r="I71" s="99"/>
      <c r="J71" s="99"/>
      <c r="K71" s="99"/>
      <c r="L71" s="99"/>
      <c r="M71" s="101"/>
      <c r="N71" s="97"/>
      <c r="O71" s="98"/>
      <c r="P71" s="99"/>
      <c r="Q71" s="98"/>
      <c r="R71" s="99"/>
      <c r="S71" s="99"/>
    </row>
    <row r="72" spans="1:19" x14ac:dyDescent="0.45">
      <c r="A72" s="99"/>
      <c r="B72" s="99"/>
      <c r="C72" s="99"/>
      <c r="D72" s="99"/>
      <c r="E72" s="99"/>
      <c r="F72" s="99"/>
      <c r="G72" s="99"/>
      <c r="H72" s="99"/>
      <c r="I72" s="99"/>
      <c r="J72" s="99"/>
      <c r="K72" s="99"/>
      <c r="L72" s="99"/>
      <c r="M72" s="101"/>
      <c r="N72" s="97"/>
      <c r="O72" s="98"/>
      <c r="P72" s="99"/>
      <c r="Q72" s="98"/>
      <c r="R72" s="99"/>
      <c r="S72" s="99"/>
    </row>
    <row r="73" spans="1:19" x14ac:dyDescent="0.45">
      <c r="A73" s="99"/>
      <c r="B73" s="99"/>
      <c r="C73" s="99"/>
      <c r="D73" s="99"/>
      <c r="E73" s="99"/>
      <c r="F73" s="99"/>
      <c r="G73" s="99"/>
      <c r="H73" s="99"/>
      <c r="I73" s="99"/>
      <c r="J73" s="99"/>
      <c r="K73" s="99"/>
      <c r="L73" s="99"/>
      <c r="M73" s="101"/>
      <c r="N73" s="97"/>
      <c r="O73" s="98"/>
      <c r="P73" s="99"/>
      <c r="Q73" s="98"/>
      <c r="R73" s="99"/>
      <c r="S73" s="99"/>
    </row>
    <row r="74" spans="1:19" x14ac:dyDescent="0.45">
      <c r="A74" s="99"/>
      <c r="B74" s="99"/>
      <c r="C74" s="99"/>
      <c r="D74" s="99"/>
      <c r="E74" s="99"/>
      <c r="F74" s="99"/>
      <c r="G74" s="99"/>
      <c r="H74" s="99"/>
      <c r="I74" s="99"/>
      <c r="J74" s="99"/>
      <c r="K74" s="99"/>
      <c r="L74" s="99"/>
      <c r="M74" s="101"/>
      <c r="N74" s="97"/>
      <c r="O74" s="98"/>
      <c r="P74" s="99"/>
      <c r="Q74" s="98"/>
      <c r="R74" s="99"/>
      <c r="S74" s="99"/>
    </row>
    <row r="75" spans="1:19" x14ac:dyDescent="0.45">
      <c r="A75" s="99"/>
      <c r="B75" s="99"/>
      <c r="C75" s="99"/>
      <c r="D75" s="99"/>
      <c r="E75" s="99"/>
      <c r="F75" s="99"/>
      <c r="G75" s="99"/>
      <c r="H75" s="99"/>
      <c r="I75" s="99"/>
      <c r="J75" s="99"/>
      <c r="K75" s="99"/>
      <c r="L75" s="99"/>
      <c r="M75" s="101"/>
      <c r="N75" s="97"/>
      <c r="O75" s="98"/>
      <c r="P75" s="99"/>
      <c r="Q75" s="98"/>
      <c r="R75" s="99"/>
      <c r="S75" s="99"/>
    </row>
    <row r="76" spans="1:19" x14ac:dyDescent="0.45">
      <c r="A76" s="99"/>
      <c r="B76" s="99"/>
      <c r="C76" s="99"/>
      <c r="D76" s="99"/>
      <c r="E76" s="99"/>
      <c r="F76" s="99"/>
      <c r="G76" s="99"/>
      <c r="H76" s="99"/>
      <c r="I76" s="99"/>
      <c r="J76" s="99"/>
      <c r="K76" s="99"/>
      <c r="L76" s="99"/>
      <c r="M76" s="101"/>
      <c r="N76" s="97"/>
      <c r="O76" s="98"/>
      <c r="P76" s="99"/>
      <c r="Q76" s="98"/>
      <c r="R76" s="99"/>
      <c r="S76" s="99"/>
    </row>
    <row r="77" spans="1:19" x14ac:dyDescent="0.45">
      <c r="A77" s="99"/>
      <c r="B77" s="99"/>
      <c r="C77" s="99"/>
      <c r="D77" s="99"/>
      <c r="E77" s="99"/>
      <c r="F77" s="99"/>
      <c r="G77" s="99"/>
      <c r="H77" s="99"/>
      <c r="I77" s="99"/>
      <c r="J77" s="99"/>
      <c r="K77" s="99"/>
      <c r="L77" s="99"/>
      <c r="M77" s="101"/>
      <c r="N77" s="97"/>
      <c r="O77" s="98"/>
      <c r="P77" s="99"/>
      <c r="Q77" s="98"/>
      <c r="R77" s="99"/>
      <c r="S77" s="99"/>
    </row>
    <row r="78" spans="1:19" x14ac:dyDescent="0.45">
      <c r="A78" s="99"/>
      <c r="B78" s="99"/>
      <c r="C78" s="99"/>
      <c r="D78" s="99"/>
      <c r="E78" s="99"/>
      <c r="F78" s="99"/>
      <c r="G78" s="99"/>
      <c r="H78" s="99"/>
      <c r="I78" s="99"/>
      <c r="J78" s="99"/>
      <c r="K78" s="99"/>
      <c r="L78" s="99"/>
      <c r="M78" s="101"/>
      <c r="N78" s="97"/>
      <c r="O78" s="98"/>
      <c r="P78" s="99"/>
      <c r="Q78" s="98"/>
      <c r="R78" s="99"/>
      <c r="S78" s="99"/>
    </row>
    <row r="79" spans="1:19" x14ac:dyDescent="0.45">
      <c r="A79" s="99"/>
      <c r="B79" s="99"/>
      <c r="C79" s="99"/>
      <c r="D79" s="99"/>
      <c r="E79" s="99"/>
      <c r="F79" s="99"/>
      <c r="G79" s="99"/>
      <c r="H79" s="99"/>
      <c r="I79" s="99"/>
      <c r="J79" s="99"/>
      <c r="K79" s="99"/>
      <c r="L79" s="99"/>
      <c r="M79" s="101"/>
      <c r="N79" s="97"/>
      <c r="O79" s="98"/>
      <c r="P79" s="99"/>
      <c r="Q79" s="98"/>
      <c r="R79" s="99"/>
      <c r="S79" s="99"/>
    </row>
    <row r="80" spans="1:19" x14ac:dyDescent="0.45">
      <c r="A80" s="99"/>
      <c r="B80" s="99"/>
      <c r="C80" s="99"/>
      <c r="D80" s="99"/>
      <c r="E80" s="99"/>
      <c r="F80" s="99"/>
      <c r="G80" s="99"/>
      <c r="H80" s="99"/>
      <c r="I80" s="99"/>
      <c r="J80" s="99"/>
      <c r="K80" s="99"/>
      <c r="L80" s="99"/>
      <c r="M80" s="101"/>
      <c r="N80" s="97"/>
      <c r="O80" s="98"/>
      <c r="P80" s="99"/>
      <c r="Q80" s="98"/>
      <c r="R80" s="99"/>
      <c r="S80" s="99"/>
    </row>
    <row r="81" spans="1:19" x14ac:dyDescent="0.45">
      <c r="A81" s="99"/>
      <c r="B81" s="99"/>
      <c r="C81" s="99"/>
      <c r="D81" s="99"/>
      <c r="E81" s="99"/>
      <c r="F81" s="99"/>
      <c r="G81" s="99"/>
      <c r="H81" s="99"/>
      <c r="I81" s="99"/>
      <c r="J81" s="99"/>
      <c r="K81" s="99"/>
      <c r="L81" s="99"/>
      <c r="M81" s="101"/>
      <c r="N81" s="97"/>
      <c r="O81" s="98"/>
      <c r="P81" s="99"/>
      <c r="Q81" s="98"/>
      <c r="R81" s="99"/>
      <c r="S81" s="99"/>
    </row>
    <row r="82" spans="1:19" x14ac:dyDescent="0.45">
      <c r="A82" s="99"/>
      <c r="B82" s="99"/>
      <c r="C82" s="99"/>
      <c r="D82" s="99"/>
      <c r="E82" s="99"/>
      <c r="F82" s="99"/>
      <c r="G82" s="99"/>
      <c r="H82" s="99"/>
      <c r="I82" s="99"/>
      <c r="J82" s="99"/>
      <c r="K82" s="99"/>
      <c r="L82" s="99"/>
      <c r="M82" s="101"/>
      <c r="N82" s="97"/>
      <c r="O82" s="98"/>
      <c r="P82" s="99"/>
      <c r="Q82" s="98"/>
      <c r="R82" s="99"/>
      <c r="S82" s="99"/>
    </row>
    <row r="83" spans="1:19" x14ac:dyDescent="0.45">
      <c r="A83" s="99"/>
      <c r="B83" s="99"/>
      <c r="C83" s="99"/>
      <c r="D83" s="99"/>
      <c r="E83" s="99"/>
      <c r="F83" s="99"/>
      <c r="G83" s="99"/>
      <c r="H83" s="99"/>
      <c r="I83" s="99"/>
      <c r="J83" s="99"/>
      <c r="K83" s="99"/>
      <c r="L83" s="99"/>
      <c r="M83" s="101"/>
      <c r="N83" s="97"/>
      <c r="O83" s="98"/>
      <c r="P83" s="99"/>
      <c r="Q83" s="98"/>
      <c r="R83" s="99"/>
      <c r="S83" s="99"/>
    </row>
    <row r="84" spans="1:19" x14ac:dyDescent="0.45">
      <c r="A84" s="99"/>
      <c r="B84" s="99"/>
      <c r="C84" s="99"/>
      <c r="D84" s="99"/>
      <c r="E84" s="99"/>
      <c r="F84" s="99"/>
      <c r="G84" s="99"/>
      <c r="H84" s="99"/>
      <c r="I84" s="99"/>
      <c r="J84" s="99"/>
      <c r="K84" s="99"/>
      <c r="L84" s="99"/>
      <c r="M84" s="101"/>
      <c r="N84" s="97"/>
      <c r="O84" s="98"/>
      <c r="P84" s="99"/>
      <c r="Q84" s="98"/>
      <c r="R84" s="99"/>
      <c r="S84" s="99"/>
    </row>
    <row r="85" spans="1:19" x14ac:dyDescent="0.45">
      <c r="A85" s="99"/>
      <c r="B85" s="99"/>
      <c r="C85" s="99"/>
      <c r="D85" s="99"/>
      <c r="E85" s="99"/>
      <c r="F85" s="99"/>
      <c r="G85" s="99"/>
      <c r="H85" s="99"/>
      <c r="I85" s="99"/>
      <c r="J85" s="99"/>
      <c r="K85" s="99"/>
      <c r="L85" s="99"/>
      <c r="M85" s="101"/>
      <c r="N85" s="97"/>
      <c r="O85" s="98"/>
      <c r="P85" s="99"/>
      <c r="Q85" s="98"/>
      <c r="R85" s="99"/>
      <c r="S85" s="99"/>
    </row>
    <row r="86" spans="1:19" x14ac:dyDescent="0.45">
      <c r="A86" s="99"/>
      <c r="B86" s="99"/>
      <c r="C86" s="99"/>
      <c r="D86" s="99"/>
      <c r="E86" s="99"/>
      <c r="F86" s="99"/>
      <c r="G86" s="99"/>
      <c r="H86" s="99"/>
      <c r="I86" s="99"/>
      <c r="J86" s="99"/>
      <c r="K86" s="99"/>
      <c r="L86" s="99"/>
      <c r="M86" s="101"/>
      <c r="N86" s="97"/>
      <c r="O86" s="98"/>
      <c r="P86" s="99"/>
      <c r="Q86" s="98"/>
      <c r="R86" s="99"/>
      <c r="S86" s="99"/>
    </row>
    <row r="87" spans="1:19" x14ac:dyDescent="0.45">
      <c r="A87" s="99"/>
      <c r="B87" s="99"/>
      <c r="C87" s="99"/>
      <c r="D87" s="99"/>
      <c r="E87" s="99"/>
      <c r="F87" s="99"/>
      <c r="G87" s="99"/>
      <c r="H87" s="99"/>
      <c r="I87" s="99"/>
      <c r="J87" s="99"/>
      <c r="K87" s="99"/>
      <c r="L87" s="99"/>
      <c r="M87" s="101"/>
      <c r="N87" s="97"/>
      <c r="O87" s="98"/>
      <c r="P87" s="99"/>
      <c r="Q87" s="98"/>
      <c r="R87" s="99"/>
      <c r="S87" s="99"/>
    </row>
    <row r="88" spans="1:19" x14ac:dyDescent="0.45">
      <c r="A88" s="99"/>
      <c r="B88" s="99"/>
      <c r="C88" s="99"/>
      <c r="D88" s="99"/>
      <c r="E88" s="99"/>
      <c r="F88" s="99"/>
      <c r="G88" s="99"/>
      <c r="H88" s="99"/>
      <c r="I88" s="99"/>
      <c r="J88" s="99"/>
      <c r="K88" s="99"/>
      <c r="L88" s="99"/>
      <c r="M88" s="101"/>
      <c r="N88" s="97"/>
      <c r="O88" s="98"/>
      <c r="P88" s="99"/>
      <c r="Q88" s="98"/>
      <c r="R88" s="99"/>
      <c r="S88" s="99"/>
    </row>
    <row r="89" spans="1:19" x14ac:dyDescent="0.45">
      <c r="A89" s="99"/>
      <c r="B89" s="99"/>
      <c r="C89" s="99"/>
      <c r="D89" s="99"/>
      <c r="E89" s="99"/>
      <c r="F89" s="99"/>
      <c r="G89" s="99"/>
      <c r="H89" s="99"/>
      <c r="I89" s="99"/>
      <c r="J89" s="99"/>
      <c r="K89" s="99"/>
      <c r="L89" s="99"/>
      <c r="M89" s="101"/>
      <c r="N89" s="97"/>
      <c r="O89" s="98"/>
      <c r="P89" s="99"/>
      <c r="Q89" s="98"/>
      <c r="R89" s="99"/>
      <c r="S89" s="99"/>
    </row>
    <row r="90" spans="1:19" x14ac:dyDescent="0.45">
      <c r="A90" s="99"/>
      <c r="B90" s="99"/>
      <c r="C90" s="99"/>
      <c r="D90" s="99"/>
      <c r="E90" s="99"/>
      <c r="F90" s="99"/>
      <c r="G90" s="99"/>
      <c r="H90" s="99"/>
      <c r="I90" s="99"/>
      <c r="J90" s="99"/>
      <c r="K90" s="99"/>
      <c r="L90" s="99"/>
      <c r="M90" s="101"/>
      <c r="N90" s="97"/>
      <c r="O90" s="98"/>
      <c r="P90" s="99"/>
      <c r="Q90" s="98"/>
      <c r="R90" s="99"/>
      <c r="S90" s="99"/>
    </row>
    <row r="91" spans="1:19" x14ac:dyDescent="0.45">
      <c r="A91" s="99"/>
      <c r="B91" s="99"/>
      <c r="C91" s="99"/>
      <c r="D91" s="99"/>
      <c r="E91" s="99"/>
      <c r="F91" s="99"/>
      <c r="G91" s="99"/>
      <c r="H91" s="99"/>
      <c r="I91" s="99"/>
      <c r="J91" s="99"/>
      <c r="K91" s="99"/>
      <c r="L91" s="99"/>
      <c r="M91" s="101"/>
      <c r="N91" s="97"/>
      <c r="O91" s="98"/>
      <c r="P91" s="99"/>
      <c r="Q91" s="98"/>
      <c r="R91" s="99"/>
      <c r="S91" s="99"/>
    </row>
    <row r="92" spans="1:19" x14ac:dyDescent="0.45">
      <c r="A92" s="99"/>
      <c r="B92" s="99"/>
      <c r="C92" s="99"/>
      <c r="D92" s="99"/>
      <c r="E92" s="99"/>
      <c r="F92" s="99"/>
      <c r="G92" s="99"/>
      <c r="H92" s="99"/>
      <c r="I92" s="99"/>
      <c r="J92" s="99"/>
      <c r="K92" s="99"/>
      <c r="L92" s="99"/>
      <c r="M92" s="101"/>
      <c r="N92" s="97"/>
      <c r="O92" s="98"/>
      <c r="P92" s="99"/>
      <c r="Q92" s="98"/>
      <c r="R92" s="99"/>
      <c r="S92" s="99"/>
    </row>
    <row r="93" spans="1:19" x14ac:dyDescent="0.45">
      <c r="A93" s="99"/>
      <c r="B93" s="99"/>
      <c r="C93" s="99"/>
      <c r="D93" s="99"/>
      <c r="E93" s="99"/>
      <c r="F93" s="99"/>
      <c r="G93" s="99"/>
      <c r="H93" s="99"/>
      <c r="I93" s="99"/>
      <c r="J93" s="99"/>
      <c r="K93" s="99"/>
      <c r="L93" s="99"/>
      <c r="M93" s="101"/>
      <c r="N93" s="97"/>
      <c r="O93" s="98"/>
      <c r="P93" s="99"/>
      <c r="Q93" s="98"/>
      <c r="R93" s="99"/>
      <c r="S93" s="99"/>
    </row>
    <row r="94" spans="1:19" x14ac:dyDescent="0.45">
      <c r="A94" s="99"/>
      <c r="B94" s="99"/>
      <c r="C94" s="99"/>
      <c r="D94" s="99"/>
      <c r="E94" s="99"/>
      <c r="F94" s="99"/>
      <c r="G94" s="99"/>
      <c r="H94" s="99"/>
      <c r="I94" s="99"/>
      <c r="J94" s="99"/>
      <c r="K94" s="99"/>
      <c r="L94" s="99"/>
      <c r="M94" s="101"/>
      <c r="N94" s="97"/>
      <c r="O94" s="98"/>
      <c r="P94" s="99"/>
      <c r="Q94" s="98"/>
      <c r="R94" s="99"/>
      <c r="S94" s="99"/>
    </row>
    <row r="95" spans="1:19" x14ac:dyDescent="0.45">
      <c r="A95" s="99"/>
      <c r="B95" s="99"/>
      <c r="C95" s="99"/>
      <c r="D95" s="99"/>
      <c r="E95" s="99"/>
      <c r="F95" s="99"/>
      <c r="G95" s="99"/>
      <c r="H95" s="99"/>
      <c r="I95" s="99"/>
      <c r="J95" s="99"/>
      <c r="K95" s="99"/>
      <c r="L95" s="99"/>
      <c r="M95" s="101"/>
      <c r="N95" s="97"/>
      <c r="O95" s="98"/>
      <c r="P95" s="99"/>
      <c r="Q95" s="98"/>
      <c r="R95" s="99"/>
      <c r="S95" s="99"/>
    </row>
    <row r="96" spans="1:19" x14ac:dyDescent="0.45">
      <c r="A96" s="99"/>
      <c r="B96" s="99"/>
      <c r="C96" s="99"/>
      <c r="D96" s="99"/>
      <c r="E96" s="99"/>
      <c r="F96" s="99"/>
      <c r="G96" s="99"/>
      <c r="H96" s="99"/>
      <c r="I96" s="99"/>
      <c r="J96" s="99"/>
      <c r="K96" s="99"/>
      <c r="L96" s="99"/>
      <c r="M96" s="101"/>
      <c r="N96" s="97"/>
      <c r="O96" s="98"/>
      <c r="P96" s="99"/>
      <c r="Q96" s="98"/>
      <c r="R96" s="99"/>
      <c r="S96" s="99"/>
    </row>
    <row r="97" spans="1:19" x14ac:dyDescent="0.45">
      <c r="A97" s="99"/>
      <c r="B97" s="99"/>
      <c r="C97" s="99"/>
      <c r="D97" s="99"/>
      <c r="E97" s="99"/>
      <c r="F97" s="99"/>
      <c r="G97" s="99"/>
      <c r="H97" s="99"/>
      <c r="I97" s="99"/>
      <c r="J97" s="99"/>
      <c r="K97" s="99"/>
      <c r="L97" s="99"/>
      <c r="M97" s="101"/>
      <c r="N97" s="97"/>
      <c r="O97" s="98"/>
      <c r="P97" s="99"/>
      <c r="Q97" s="98"/>
      <c r="R97" s="99"/>
      <c r="S97" s="99"/>
    </row>
    <row r="98" spans="1:19" x14ac:dyDescent="0.45">
      <c r="A98" s="99"/>
      <c r="B98" s="99"/>
      <c r="C98" s="99"/>
      <c r="D98" s="99"/>
      <c r="E98" s="99"/>
      <c r="F98" s="99"/>
      <c r="G98" s="99"/>
      <c r="H98" s="99"/>
      <c r="I98" s="99"/>
      <c r="J98" s="99"/>
      <c r="K98" s="99"/>
      <c r="L98" s="99"/>
      <c r="M98" s="101"/>
      <c r="N98" s="97"/>
      <c r="O98" s="98"/>
      <c r="P98" s="99"/>
      <c r="Q98" s="98"/>
      <c r="R98" s="99"/>
      <c r="S98" s="99"/>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Benchmark</vt:lpstr>
      <vt:lpstr>GaN HEMT</vt:lpstr>
      <vt:lpstr>InP HEMT</vt:lpstr>
      <vt:lpstr>mHEMT</vt:lpstr>
      <vt:lpstr>InP HBT</vt:lpstr>
      <vt:lpstr>周波数帯</vt:lpstr>
      <vt:lpstr>InPHEMTs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Okamoto, Naoya/岡本 直哉</dc:creator>
  <cp:lastModifiedBy>鈴木 左文</cp:lastModifiedBy>
  <dcterms:created xsi:type="dcterms:W3CDTF">2022-08-20T07:31:51Z</dcterms:created>
  <dcterms:modified xsi:type="dcterms:W3CDTF">2022-09-15T12:15:51Z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2022-08-21T22:00:12Z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e87fb650-4ac5-40c6-888f-db222597d969</vt:lpwstr>
  </property>
  <property fmtid="{D5CDD505-2E9C-101B-9397-08002B2CF9AE}" pid="8" name="MSIP_Label_a7295cc1-d279-42ac-ab4d-3b0f4fece050_ContentBits">
    <vt:lpwstr>0</vt:lpwstr>
  </property>
</Properties>
</file>